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8\2018_July_Major_Update\Publication\"/>
    </mc:Choice>
  </mc:AlternateContent>
  <xr:revisionPtr revIDLastSave="0" documentId="10_ncr:100000_{47D5BDD7-2533-41EF-A3D3-ED04655B4E1D}" xr6:coauthVersionLast="31" xr6:coauthVersionMax="31" xr10:uidLastSave="{00000000-0000-0000-0000-000000000000}"/>
  <bookViews>
    <workbookView xWindow="0" yWindow="0" windowWidth="13125" windowHeight="6105" xr2:uid="{00000000-000D-0000-FFFF-FFFF00000000}"/>
  </bookViews>
  <sheets>
    <sheet name="South Austral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20" r:id="rId8"/>
  </sheets>
  <externalReferences>
    <externalReference r:id="rId9"/>
  </externalReferences>
  <definedNames>
    <definedName name="ExternalData_1" localSheetId="5" hidden="1">'Existing NS Generation'!$A$2:$I$38</definedName>
    <definedName name="ExternalData_1" localSheetId="2">'Existing S &amp; SS Generation'!#REF!</definedName>
    <definedName name="ExternalData_1" localSheetId="6" hidden="1">'New Developments'!$A$2:$O$60</definedName>
    <definedName name="ExternalData_1" localSheetId="3" hidden="1">'Summer Scheduled Capacities'!$A$2:$O$40</definedName>
    <definedName name="ExternalData_2" localSheetId="2" hidden="1">'Existing S &amp; SS Generation'!$A$2:$K$33</definedName>
    <definedName name="ExternalData_2" localSheetId="3" hidden="1">'Summer Scheduled Capacities'!$A$50:$O$70</definedName>
    <definedName name="ExternalData_3" localSheetId="3" hidden="1">'Summer Scheduled Capacities'!$A$77:$O$95</definedName>
    <definedName name="Type_List">OFFSET('[1]Version changes'!$C$3,1,0,COUNTA('[1]Version changes'!$T:$T-1),1)</definedName>
  </definedNames>
  <calcPr calcId="179017"/>
</workbook>
</file>

<file path=xl/calcChain.xml><?xml version="1.0" encoding="utf-8"?>
<calcChain xmlns="http://schemas.openxmlformats.org/spreadsheetml/2006/main">
  <c r="L63" i="1" l="1"/>
  <c r="K63" i="1"/>
  <c r="J63" i="1"/>
  <c r="I63" i="1"/>
  <c r="H63" i="1"/>
  <c r="G63" i="1"/>
  <c r="F63" i="1"/>
  <c r="E63" i="1"/>
  <c r="D63" i="1"/>
  <c r="L60" i="1"/>
  <c r="K60" i="1"/>
  <c r="J60" i="1"/>
  <c r="I60" i="1"/>
  <c r="H60" i="1"/>
  <c r="G60" i="1"/>
  <c r="F60" i="1"/>
  <c r="E60" i="1"/>
  <c r="D60" i="1"/>
  <c r="L59" i="1"/>
  <c r="K59" i="1"/>
  <c r="J59" i="1"/>
  <c r="I59" i="1"/>
  <c r="H59" i="1"/>
  <c r="G59" i="1"/>
  <c r="F59" i="1"/>
  <c r="E59" i="1"/>
  <c r="D59" i="1"/>
  <c r="C59" i="1"/>
  <c r="C60" i="1"/>
  <c r="C63" i="1"/>
  <c r="D35" i="11"/>
  <c r="C40" i="12" l="1"/>
  <c r="C42" i="16" l="1"/>
  <c r="D42" i="16"/>
  <c r="E42" i="16"/>
  <c r="F42" i="16"/>
  <c r="G42" i="16"/>
  <c r="H42" i="16"/>
  <c r="I42" i="16"/>
  <c r="J42" i="16"/>
  <c r="K42" i="16"/>
  <c r="B42" i="16"/>
  <c r="C72" i="16"/>
  <c r="C74" i="16" s="1"/>
  <c r="D72" i="16"/>
  <c r="D74" i="16" s="1"/>
  <c r="E72" i="16"/>
  <c r="E74" i="16" s="1"/>
  <c r="F72" i="16"/>
  <c r="F74" i="16" s="1"/>
  <c r="G72" i="16"/>
  <c r="G74" i="16" s="1"/>
  <c r="H72" i="16"/>
  <c r="H74" i="16" s="1"/>
  <c r="I72" i="16"/>
  <c r="I74" i="16" s="1"/>
  <c r="J72" i="16"/>
  <c r="J74" i="16" s="1"/>
  <c r="K72" i="16"/>
  <c r="K74" i="16" s="1"/>
  <c r="B72" i="16"/>
  <c r="B74" i="16" s="1"/>
  <c r="C98" i="16"/>
  <c r="D98" i="16"/>
  <c r="E98" i="16"/>
  <c r="F98" i="16"/>
  <c r="G98" i="16"/>
  <c r="H98" i="16"/>
  <c r="I98" i="16"/>
  <c r="J98" i="16"/>
  <c r="K98" i="16"/>
  <c r="B98" i="16"/>
  <c r="C97" i="16"/>
  <c r="D97" i="16"/>
  <c r="E97" i="16"/>
  <c r="F97" i="16"/>
  <c r="G97" i="16"/>
  <c r="H97" i="16"/>
  <c r="I97" i="16"/>
  <c r="J97" i="16"/>
  <c r="K97" i="16"/>
  <c r="B97" i="16"/>
  <c r="C72" i="15"/>
  <c r="C74" i="15" s="1"/>
  <c r="D72" i="15"/>
  <c r="D74" i="15" s="1"/>
  <c r="E72" i="15"/>
  <c r="E74" i="15" s="1"/>
  <c r="F72" i="15"/>
  <c r="F74" i="15" s="1"/>
  <c r="G72" i="15"/>
  <c r="G74" i="15" s="1"/>
  <c r="H72" i="15"/>
  <c r="H74" i="15" s="1"/>
  <c r="I72" i="15"/>
  <c r="I74" i="15" s="1"/>
  <c r="J72" i="15"/>
  <c r="J74" i="15" s="1"/>
  <c r="K72" i="15"/>
  <c r="K74" i="15" s="1"/>
  <c r="B72" i="15"/>
  <c r="B74" i="15" s="1"/>
  <c r="C98" i="15"/>
  <c r="D98" i="15"/>
  <c r="E98" i="15"/>
  <c r="F98" i="15"/>
  <c r="G98" i="15"/>
  <c r="H98" i="15"/>
  <c r="I98" i="15"/>
  <c r="J98" i="15"/>
  <c r="K98" i="15"/>
  <c r="B98" i="15"/>
  <c r="C97" i="15"/>
  <c r="D97" i="15"/>
  <c r="E97" i="15"/>
  <c r="F97" i="15"/>
  <c r="G97" i="15"/>
  <c r="H97" i="15"/>
  <c r="I97" i="15"/>
  <c r="J97" i="15"/>
  <c r="K97" i="15"/>
  <c r="B97" i="15"/>
  <c r="C42" i="15"/>
  <c r="D42" i="15"/>
  <c r="E42" i="15"/>
  <c r="F42" i="15"/>
  <c r="G42" i="15"/>
  <c r="H42" i="15"/>
  <c r="I42" i="15"/>
  <c r="J42" i="15"/>
  <c r="K42" i="15"/>
  <c r="B42" i="15"/>
  <c r="H61" i="1" l="1"/>
  <c r="J58" i="1"/>
  <c r="F58" i="1" l="1"/>
  <c r="G58" i="1"/>
  <c r="H58" i="1"/>
  <c r="L58" i="1"/>
  <c r="I58" i="1"/>
  <c r="E58" i="1"/>
  <c r="D58" i="1"/>
  <c r="M63" i="1"/>
  <c r="M59" i="1"/>
  <c r="K58" i="1"/>
  <c r="M60" i="1"/>
  <c r="C58" i="1"/>
  <c r="L62" i="1"/>
  <c r="K62" i="1"/>
  <c r="J62" i="1"/>
  <c r="I62" i="1"/>
  <c r="H62" i="1"/>
  <c r="G62" i="1"/>
  <c r="F62" i="1"/>
  <c r="E62" i="1"/>
  <c r="D62" i="1"/>
  <c r="C62" i="1"/>
  <c r="L61" i="1"/>
  <c r="K61" i="1"/>
  <c r="J61" i="1"/>
  <c r="I61" i="1"/>
  <c r="G61" i="1"/>
  <c r="F61" i="1"/>
  <c r="E61" i="1"/>
  <c r="D61" i="1"/>
  <c r="C61" i="1"/>
  <c r="M62" i="1" l="1"/>
  <c r="M61" i="1"/>
  <c r="M5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<sst xmlns="http://schemas.openxmlformats.org/spreadsheetml/2006/main" count="2489" uniqueCount="598">
  <si>
    <t>Existing &amp; committed scheduled and semi-scheduled generation</t>
  </si>
  <si>
    <t>Power Station</t>
  </si>
  <si>
    <t>Owner</t>
  </si>
  <si>
    <t>Technology Type</t>
  </si>
  <si>
    <t>Fuel Type</t>
  </si>
  <si>
    <t>Dispatch Type</t>
  </si>
  <si>
    <t>Service Status</t>
  </si>
  <si>
    <t>Region</t>
  </si>
  <si>
    <t>Angaston</t>
  </si>
  <si>
    <t>Lumo Generation SA Pty Ltd</t>
  </si>
  <si>
    <t>12 x 1.66
18 x 1.66</t>
  </si>
  <si>
    <t>Compression Reciprocating Engine</t>
  </si>
  <si>
    <t>Diesel</t>
  </si>
  <si>
    <t>S</t>
  </si>
  <si>
    <t>In Service</t>
  </si>
  <si>
    <t>SA</t>
  </si>
  <si>
    <t>Wind - Onshore</t>
  </si>
  <si>
    <t>Wind</t>
  </si>
  <si>
    <t>SS</t>
  </si>
  <si>
    <t>OCGT</t>
  </si>
  <si>
    <t>Natural Gas Pipeline</t>
  </si>
  <si>
    <t>Infrastructure Capital Group</t>
  </si>
  <si>
    <t>Water</t>
  </si>
  <si>
    <t>Hydro - Gravity</t>
  </si>
  <si>
    <t>AGL Energy</t>
  </si>
  <si>
    <t>Steam Sub Critical</t>
  </si>
  <si>
    <t>AGL</t>
  </si>
  <si>
    <t>PV panels</t>
  </si>
  <si>
    <t>Solar</t>
  </si>
  <si>
    <t>PV-Tracking Flat panel</t>
  </si>
  <si>
    <t>Pacific Hydro Clements Gap Pty Ltd</t>
  </si>
  <si>
    <t>27 x 2.1</t>
  </si>
  <si>
    <t>CCGT</t>
  </si>
  <si>
    <t>Origin Energy Power Limited</t>
  </si>
  <si>
    <t>Dry Creek GT</t>
  </si>
  <si>
    <t>Synergen Power Pty Ltd</t>
  </si>
  <si>
    <t>3 x 52</t>
  </si>
  <si>
    <t>Hallett 4 North Brown Hill</t>
  </si>
  <si>
    <t>Brown Hill North Pty Ltd</t>
  </si>
  <si>
    <t>63 x 2.1</t>
  </si>
  <si>
    <t>Hallett 5 The Bluff WF</t>
  </si>
  <si>
    <t>Eurus Energy</t>
  </si>
  <si>
    <t>25 x 2.1</t>
  </si>
  <si>
    <t>Hallett GT</t>
  </si>
  <si>
    <t>EnergyAustralia</t>
  </si>
  <si>
    <t>2 x 16.24
4 x 17
2 x 20.75
1 x 18
1 x 21.76
1 x 25.6
1 x 27</t>
  </si>
  <si>
    <t>Hallett Stage 1 Brown Hill</t>
  </si>
  <si>
    <t>Palisade Investment Partner Limited</t>
  </si>
  <si>
    <t>45 x 2.1</t>
  </si>
  <si>
    <t>Hallett Stage 2 Hallett Hill</t>
  </si>
  <si>
    <t>Infrastructure Capital Group Limited</t>
  </si>
  <si>
    <t>34 x 2.1</t>
  </si>
  <si>
    <t>Hornsdale Power Reserve Unit 1</t>
  </si>
  <si>
    <t>Hornsdale Power Reserve Pty Ltd</t>
  </si>
  <si>
    <t>Pump Storage</t>
  </si>
  <si>
    <t>Hornsdale Wind Farm Stage 1</t>
  </si>
  <si>
    <t>HWF 1 Pty Ltd</t>
  </si>
  <si>
    <t>32 x 3.2</t>
  </si>
  <si>
    <t>Hornsdale Wind Farm Stage 2</t>
  </si>
  <si>
    <t>HWF 2 Pty Ltd</t>
  </si>
  <si>
    <t>Hornsdale Wind Farm Stage 3</t>
  </si>
  <si>
    <t>HWF 3 Pty Ltd</t>
  </si>
  <si>
    <t>35 x 3.2</t>
  </si>
  <si>
    <t>Ladbroke Grove</t>
  </si>
  <si>
    <t>2 x 40</t>
  </si>
  <si>
    <t>Lake Bonney 2 Wind Farm</t>
  </si>
  <si>
    <t>Lake Bonney Wind Power Pty Ltd</t>
  </si>
  <si>
    <t>53 x 3</t>
  </si>
  <si>
    <t>Lake Bonney 3 Wind Farm</t>
  </si>
  <si>
    <t>13 x 3</t>
  </si>
  <si>
    <t>Announced Withdrawal</t>
  </si>
  <si>
    <t>Lonsdale</t>
  </si>
  <si>
    <t>18 x 1.15</t>
  </si>
  <si>
    <t>Mintaro GT</t>
  </si>
  <si>
    <t>1 x 90</t>
  </si>
  <si>
    <t>Osborne</t>
  </si>
  <si>
    <t>Osborne Cogeneration Pty Ltd</t>
  </si>
  <si>
    <t>1 x 118
1 x 62</t>
  </si>
  <si>
    <t>Pelican Point</t>
  </si>
  <si>
    <t>Pelican Point Power Limited</t>
  </si>
  <si>
    <t>2 x 239</t>
  </si>
  <si>
    <t>Port Lincoln GT</t>
  </si>
  <si>
    <t>2 x 25
1 x 23.5</t>
  </si>
  <si>
    <t>Port Stanvac 1</t>
  </si>
  <si>
    <t>36 x 1.6</t>
  </si>
  <si>
    <t>Quarantine</t>
  </si>
  <si>
    <t>4 x 24
1 x 128</t>
  </si>
  <si>
    <t>Snowtown Wind Farm Pty Ltd</t>
  </si>
  <si>
    <t>47 x 2.1</t>
  </si>
  <si>
    <t>Snowtown Wind Farm Stage 2 Pty Ltd</t>
  </si>
  <si>
    <t>90 x 3</t>
  </si>
  <si>
    <t>Snuggery</t>
  </si>
  <si>
    <t>3 x 21</t>
  </si>
  <si>
    <t>SA Power Networks</t>
  </si>
  <si>
    <t>5 x 30.8</t>
  </si>
  <si>
    <t>4 x 30.8</t>
  </si>
  <si>
    <t>Torrens Island A</t>
  </si>
  <si>
    <t>Torrens Island B</t>
  </si>
  <si>
    <t>4 x 200</t>
  </si>
  <si>
    <t>Ratch Australia</t>
  </si>
  <si>
    <t>Waterloo Windfarm Pty Ltd</t>
  </si>
  <si>
    <t>6 x 3.3
37 x 3</t>
  </si>
  <si>
    <t>Total</t>
  </si>
  <si>
    <t>1</t>
  </si>
  <si>
    <t>Barker Inlet Power Station</t>
  </si>
  <si>
    <t>1-12</t>
  </si>
  <si>
    <t>Bungala Three</t>
  </si>
  <si>
    <t>Lincoln Gap Wind Farm - stage 1</t>
  </si>
  <si>
    <t>LGWT01-35</t>
  </si>
  <si>
    <t>10</t>
  </si>
  <si>
    <t>Solar Panels</t>
  </si>
  <si>
    <t>1-48</t>
  </si>
  <si>
    <t>Tailem Bend - Solar</t>
  </si>
  <si>
    <t>Willogoleche</t>
  </si>
  <si>
    <t>Station</t>
  </si>
  <si>
    <t>Existing non-scheduled generation</t>
  </si>
  <si>
    <t>Nameplate Capacity (MW)</t>
  </si>
  <si>
    <t>In service</t>
  </si>
  <si>
    <t>Adelaide Airport</t>
  </si>
  <si>
    <t>Adelaide Airport Ltd</t>
  </si>
  <si>
    <t>Landfill Methane / Landfill Gas</t>
  </si>
  <si>
    <t>Blue Lake Milling Power Plant</t>
  </si>
  <si>
    <t>Vibe Energy Pty Ltd</t>
  </si>
  <si>
    <t>Bolivar Waste Water Treatment</t>
  </si>
  <si>
    <t>South Australian Water Corporation</t>
  </si>
  <si>
    <t>Sewerage / Waste Water</t>
  </si>
  <si>
    <t>Bordertown Power Station Gen</t>
  </si>
  <si>
    <t>Vibe Energy</t>
  </si>
  <si>
    <t>Canunda</t>
  </si>
  <si>
    <t>Canunda Power Pty Ltd</t>
  </si>
  <si>
    <t>Cathedral Rocks</t>
  </si>
  <si>
    <t>JV Cathedral Rock Investments Pty Ltd and Acciona Energy Oceania Pty Ltd</t>
  </si>
  <si>
    <t>Coopers Co-gen</t>
  </si>
  <si>
    <t>Kingscote Power Station</t>
  </si>
  <si>
    <t>Lake Bonney 1 Wind Farm</t>
  </si>
  <si>
    <t>Mt Millar</t>
  </si>
  <si>
    <t>Mount Millar Wind Farm Pty Ltd</t>
  </si>
  <si>
    <t>NAWMA Balefill Site Uleybury</t>
  </si>
  <si>
    <t>LMS Energy</t>
  </si>
  <si>
    <t>Peterborough Solar Farm</t>
  </si>
  <si>
    <t>Renew Power Group Pty Ltd</t>
  </si>
  <si>
    <t>Seacliff Mini Hydro</t>
  </si>
  <si>
    <t>SA Water</t>
  </si>
  <si>
    <t>Starfish Hill</t>
  </si>
  <si>
    <t>Tatiara Meats</t>
  </si>
  <si>
    <t>Terminal Storage Mini Hydro</t>
  </si>
  <si>
    <t>Lofty Ranges Power Pty Ltd</t>
  </si>
  <si>
    <t>Wattle Point</t>
  </si>
  <si>
    <t>Wingfield 1</t>
  </si>
  <si>
    <t>EDL LFG SA Pty Ltd</t>
  </si>
  <si>
    <t>Wingfield 2</t>
  </si>
  <si>
    <t>YES Sunlands</t>
  </si>
  <si>
    <t>Yates Electrical Services</t>
  </si>
  <si>
    <t>Projects under development</t>
  </si>
  <si>
    <t>Project</t>
  </si>
  <si>
    <t>Unit ID</t>
  </si>
  <si>
    <t>Unit Status</t>
  </si>
  <si>
    <t>Full Commercial Use Date</t>
  </si>
  <si>
    <t>TBA</t>
  </si>
  <si>
    <t>No</t>
  </si>
  <si>
    <t>Yes</t>
  </si>
  <si>
    <t>NS</t>
  </si>
  <si>
    <t>144</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</si>
  <si>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</si>
  <si>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</si>
  <si>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</si>
  <si>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</si>
  <si>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</si>
  <si>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</si>
  <si>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</si>
  <si>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</si>
  <si>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</si>
  <si>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</si>
  <si>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</si>
  <si>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</si>
  <si>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</si>
  <si>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</si>
  <si>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</si>
  <si>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</si>
  <si>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</si>
  <si>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</si>
  <si>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</si>
  <si>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</si>
  <si>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</si>
  <si>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</si>
  <si>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</si>
  <si>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Vena Energy</t>
  </si>
  <si>
    <t>150</t>
  </si>
  <si>
    <t>Units 1-42</t>
  </si>
  <si>
    <t>15</t>
  </si>
  <si>
    <t>300</t>
  </si>
  <si>
    <t>110</t>
  </si>
  <si>
    <t>85</t>
  </si>
  <si>
    <t>Maturing</t>
  </si>
  <si>
    <t>Tilt Renewables Australia</t>
  </si>
  <si>
    <t>60</t>
  </si>
  <si>
    <t>140</t>
  </si>
  <si>
    <t>Lyon Solar</t>
  </si>
  <si>
    <t>Jun 2020</t>
  </si>
  <si>
    <t>30</t>
  </si>
  <si>
    <t>Tilt Renewables</t>
  </si>
  <si>
    <t>Wood Waste</t>
  </si>
  <si>
    <t>1-3</t>
  </si>
  <si>
    <t>Mar 2021</t>
  </si>
  <si>
    <t>Aug 2019</t>
  </si>
  <si>
    <t>Aurora Solar Energy Project - Phase 1</t>
  </si>
  <si>
    <t>SolarReserve Australia II Pty Ltd</t>
  </si>
  <si>
    <t>ASEP1</t>
  </si>
  <si>
    <t>Solar Thml + Stg</t>
  </si>
  <si>
    <t>Aurora Solar Energy Project - Phase 2</t>
  </si>
  <si>
    <t>ASEP2</t>
  </si>
  <si>
    <t>68</t>
  </si>
  <si>
    <t>210</t>
  </si>
  <si>
    <t>Barn Hill</t>
  </si>
  <si>
    <t>Barn HIll Wind Farm Pty Ltd</t>
  </si>
  <si>
    <t>1-62</t>
  </si>
  <si>
    <t>124 - 187</t>
  </si>
  <si>
    <t>BHP Olympic Dam Backup Generation</t>
  </si>
  <si>
    <t>BHP Billiton</t>
  </si>
  <si>
    <t>Bungala One Solar Farm</t>
  </si>
  <si>
    <t>Enel Green Power</t>
  </si>
  <si>
    <t>Reach Solar Management Co</t>
  </si>
  <si>
    <t>Bungala Two Solar Farm</t>
  </si>
  <si>
    <t>Bungala Solar Two</t>
  </si>
  <si>
    <t>Ceres Project</t>
  </si>
  <si>
    <t>Senvion formely REpower</t>
  </si>
  <si>
    <t>NES 3.4M</t>
  </si>
  <si>
    <t>636</t>
  </si>
  <si>
    <t>ESCRI Dalrymple</t>
  </si>
  <si>
    <t>ElectraNet</t>
  </si>
  <si>
    <t>Exmoor</t>
  </si>
  <si>
    <t>Acciona Energy</t>
  </si>
  <si>
    <t>Goat Hill Pumped Hydro</t>
  </si>
  <si>
    <t>Altura Group</t>
  </si>
  <si>
    <t>Goat Hill Unit 1</t>
  </si>
  <si>
    <t>230</t>
  </si>
  <si>
    <t>Dec 2020</t>
  </si>
  <si>
    <t>Highbury Pumped Hydro Energy Storage</t>
  </si>
  <si>
    <t>1 and 2</t>
  </si>
  <si>
    <t>Keyneton</t>
  </si>
  <si>
    <t>Pacific Hydro Developments Australia</t>
  </si>
  <si>
    <t>105 - 176</t>
  </si>
  <si>
    <t>Aug 2021</t>
  </si>
  <si>
    <t>120 - 120</t>
  </si>
  <si>
    <t>Leigh Creek Energy Project</t>
  </si>
  <si>
    <t>Leigh Creek Energy</t>
  </si>
  <si>
    <t>Gaseous fossil fuels - other</t>
  </si>
  <si>
    <t>45</t>
  </si>
  <si>
    <t>Lincoln Gap Wind Farm - BESS</t>
  </si>
  <si>
    <t>Lincoln Gap Wind Farm Pty Ltd</t>
  </si>
  <si>
    <t>BESS</t>
  </si>
  <si>
    <t>126</t>
  </si>
  <si>
    <t>Apr 2019</t>
  </si>
  <si>
    <t>Lincoln Gap Wind Farm - stage 2</t>
  </si>
  <si>
    <t>36 - 59</t>
  </si>
  <si>
    <t>86</t>
  </si>
  <si>
    <t>Palmer Wind Farm</t>
  </si>
  <si>
    <t>1-103</t>
  </si>
  <si>
    <t>375</t>
  </si>
  <si>
    <t>Port Augusta Graphite Energy - CST</t>
  </si>
  <si>
    <t>Solastor Pty Ltd</t>
  </si>
  <si>
    <t>Concentrated Solar Thermal</t>
  </si>
  <si>
    <t>Port Augusta Graphite Energy - PV</t>
  </si>
  <si>
    <t>Solar PV</t>
  </si>
  <si>
    <t>Port Augusta Renewable Energy Park - Solar</t>
  </si>
  <si>
    <t>PAREP 1 Pty Ltd</t>
  </si>
  <si>
    <t>Central Inverters</t>
  </si>
  <si>
    <t>Port Augusta Renewable Energy Park - Wind</t>
  </si>
  <si>
    <t>Turbine 1-59</t>
  </si>
  <si>
    <t>212.4</t>
  </si>
  <si>
    <t>Reeves Plains OCGT - stage 1</t>
  </si>
  <si>
    <t>Alinta Energy Reeves Plains Pty Ltd</t>
  </si>
  <si>
    <t>Reeves Plains OCGT - stage 2</t>
  </si>
  <si>
    <t>4-6</t>
  </si>
  <si>
    <t>330</t>
  </si>
  <si>
    <t>SA Government Virtual Power Plant - stage 1</t>
  </si>
  <si>
    <t>Government of South Australia</t>
  </si>
  <si>
    <t>1 - 100</t>
  </si>
  <si>
    <t>0.5</t>
  </si>
  <si>
    <t>SA Government Virtual Power Plant - stage 3</t>
  </si>
  <si>
    <t>1001 - 50000</t>
  </si>
  <si>
    <t>245</t>
  </si>
  <si>
    <t>Snowtown North Solar Farm</t>
  </si>
  <si>
    <t>1 to 11</t>
  </si>
  <si>
    <t>44</t>
  </si>
  <si>
    <t>Snowtown North Solar Farm - BESS</t>
  </si>
  <si>
    <t>21</t>
  </si>
  <si>
    <t>Stony Gap</t>
  </si>
  <si>
    <t>1-35</t>
  </si>
  <si>
    <t>119</t>
  </si>
  <si>
    <t>108</t>
  </si>
  <si>
    <t>Tailem Bend Stage 2 Solar Project</t>
  </si>
  <si>
    <t>Units 1 to x</t>
  </si>
  <si>
    <t>Whyalla</t>
  </si>
  <si>
    <t>Adani</t>
  </si>
  <si>
    <t>Willogoleche Power Pty Ltd</t>
  </si>
  <si>
    <t>95 - 125</t>
  </si>
  <si>
    <t>Woakwine Wind Farm</t>
  </si>
  <si>
    <t>Turbines 1-124</t>
  </si>
  <si>
    <t>400</t>
  </si>
  <si>
    <t>Yorke Peninsula Biomass</t>
  </si>
  <si>
    <t>Kallis Family Trust</t>
  </si>
  <si>
    <t>Yorke Peninsula Wind Farm</t>
  </si>
  <si>
    <t>Senvion Australia</t>
  </si>
  <si>
    <t>187</t>
  </si>
  <si>
    <t>635.8</t>
  </si>
  <si>
    <t>Please read the full disclaimer at</t>
  </si>
  <si>
    <t>http://www.aemo.com.au/Electricity/National-Electricity-Market-NEM/Planning-and-forecasting/Generation-information</t>
  </si>
  <si>
    <t>South Australia Summary</t>
  </si>
  <si>
    <t>Changes since last update</t>
  </si>
  <si>
    <r>
      <rPr>
        <b/>
        <sz val="9"/>
        <color theme="1"/>
        <rFont val="Arial"/>
        <family val="2"/>
      </rPr>
      <t xml:space="preserve">Dalrymple Battery storage: </t>
    </r>
    <r>
      <rPr>
        <sz val="9"/>
        <color theme="1"/>
        <rFont val="Arial"/>
        <family val="2"/>
      </rPr>
      <t>Dalrymple Battery storage (30 MW) is now reported as a committed project since ElectraNet advises that it has commenced construction.</t>
    </r>
  </si>
  <si>
    <r>
      <rPr>
        <b/>
        <sz val="9"/>
        <color theme="1"/>
        <rFont val="Arial"/>
        <family val="2"/>
      </rPr>
      <t xml:space="preserve">Torrens Island A Power Station: </t>
    </r>
    <r>
      <rPr>
        <sz val="9"/>
        <color theme="1"/>
        <rFont val="Arial"/>
        <family val="2"/>
      </rPr>
      <t>AGL Energy advises that the four units of Torrens Island A Power Station (480 MW) will be progressively mothballed between 2019 and 2021. Two units (240 MW) will be mothballed after winter 2019, one unit (120 MW) after winter 2020 and the final unit (120 MW) after winter 2021.</t>
    </r>
  </si>
  <si>
    <t xml:space="preserve">Generation withdrawals  </t>
  </si>
  <si>
    <t>AEMO has not been advised of any plant that are currently withdrawn from this region.</t>
  </si>
  <si>
    <t xml:space="preserve">Announced withdrawals (i.e. Mothballed, Seasonal Shut down etc.)           </t>
  </si>
  <si>
    <r>
      <rPr>
        <b/>
        <sz val="9"/>
        <color theme="1"/>
        <rFont val="Arial"/>
        <family val="2"/>
      </rPr>
      <t xml:space="preserve">Gas other: </t>
    </r>
    <r>
      <rPr>
        <sz val="9"/>
        <color theme="1"/>
        <rFont val="Arial"/>
        <family val="2"/>
      </rPr>
      <t>Torrens Island A Power Station (480 MW) will be progressively mothballed between 2019 and 2021. Two units (240 MW) will be mothballed after winter 2019, one unit (120 MW) after winter 2020 and the final unit (120 MW) after winter 2021.</t>
    </r>
  </si>
  <si>
    <t>Committed projects</t>
  </si>
  <si>
    <r>
      <rPr>
        <b/>
        <sz val="9"/>
        <rFont val="Arial"/>
        <family val="2"/>
      </rPr>
      <t xml:space="preserve">Coal, CCGT, OCGT, Gas other, Water, Biomass, Geo-thermal, Other : </t>
    </r>
    <r>
      <rPr>
        <sz val="9"/>
        <rFont val="Arial"/>
        <family val="2"/>
      </rPr>
      <t>None to report.</t>
    </r>
  </si>
  <si>
    <r>
      <rPr>
        <b/>
        <sz val="9"/>
        <rFont val="Arial"/>
        <family val="2"/>
      </rPr>
      <t>Gas other:</t>
    </r>
    <r>
      <rPr>
        <sz val="9"/>
        <rFont val="Arial"/>
        <family val="2"/>
      </rPr>
      <t xml:space="preserve"> Barker Inlet Power Station (210 MW)</t>
    </r>
  </si>
  <si>
    <t xml:space="preserve">Proposed projects </t>
  </si>
  <si>
    <t>Please refer to information presented in the worksheet titled 'New Developments'.</t>
  </si>
  <si>
    <t xml:space="preserve">Plant limitations </t>
  </si>
  <si>
    <t>AEMO has not been advised of any plant limitations for this region.</t>
  </si>
  <si>
    <t>South Australia existing and potential new developments by generation type (MW)</t>
  </si>
  <si>
    <t>Data presented is current as at 1 July 2018</t>
  </si>
  <si>
    <t>South Australia Change Log</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</si>
  <si>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</si>
  <si>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</si>
  <si>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</si>
  <si>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</si>
  <si>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</si>
  <si>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</si>
  <si>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</si>
  <si>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</si>
  <si>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</si>
  <si>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</si>
  <si>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</si>
  <si>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</si>
  <si>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</si>
  <si>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</si>
  <si>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</si>
  <si>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</si>
  <si>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</si>
  <si>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</si>
  <si>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</si>
  <si>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</si>
  <si>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</si>
  <si>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</si>
  <si>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</si>
  <si>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</si>
  <si>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</si>
  <si>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</si>
  <si>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</si>
  <si>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</si>
  <si>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</si>
  <si>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</si>
  <si>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</si>
  <si>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t xml:space="preserve">Playford B Power Station: </t>
    </r>
    <r>
      <rPr>
        <sz val="9"/>
        <color theme="1"/>
        <rFont val="Arial"/>
        <family val="2"/>
      </rPr>
      <t>Alinta Energy advises that Playford B Power Station (240 MW) is planned to will retire around March - May 2016.</t>
    </r>
  </si>
  <si>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</si>
  <si>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</si>
  <si>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</si>
  <si>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</si>
  <si>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</si>
  <si>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</si>
  <si>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</si>
  <si>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</si>
  <si>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</si>
  <si>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</si>
  <si>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</si>
  <si>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</si>
  <si>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</si>
  <si>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r>
      <rPr>
        <b/>
        <sz val="9"/>
        <color theme="1"/>
        <rFont val="Arial"/>
        <family val="2"/>
      </rPr>
      <t xml:space="preserve">Hornsdale Wind Farm Stage 2: </t>
    </r>
    <r>
      <rPr>
        <sz val="9"/>
        <color theme="1"/>
        <rFont val="Arial"/>
        <family val="2"/>
      </rPr>
      <t>HWF2 Pty Ltd advises that Hornsdale Wind Farm Stage 2 (102 MW) is operational.</t>
    </r>
  </si>
  <si>
    <r>
      <rPr>
        <b/>
        <sz val="9"/>
        <color theme="1"/>
        <rFont val="Arial"/>
        <family val="2"/>
      </rPr>
      <t xml:space="preserve">Hornsdale Wind Farm Stage 3: </t>
    </r>
    <r>
      <rPr>
        <sz val="9"/>
        <color theme="1"/>
        <rFont val="Arial"/>
        <family val="2"/>
      </rPr>
      <t>HWF3 Pty Ltd advises that Hornsdale Wind Farm Stage 3 (109 MW) is operational.</t>
    </r>
  </si>
  <si>
    <r>
      <t xml:space="preserve">Hornsdale Power Reserve: </t>
    </r>
    <r>
      <rPr>
        <sz val="9"/>
        <color theme="1"/>
        <rFont val="Arial"/>
        <family val="2"/>
      </rPr>
      <t>Hornsdale Power Reserve Pty Ltd advises that Hornsdale Power Reserve Unit 1 (100 MW / 129 MWh) battery storage is operational.</t>
    </r>
  </si>
  <si>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</si>
  <si>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</si>
  <si>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</si>
  <si>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</si>
  <si>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</si>
  <si>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</si>
  <si>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</si>
  <si>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</si>
  <si>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</si>
  <si>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</si>
  <si>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</si>
  <si>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</si>
  <si>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</si>
  <si>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</si>
  <si>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</si>
  <si>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</si>
  <si>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</si>
  <si>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</si>
  <si>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</si>
  <si>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</si>
  <si>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</si>
  <si>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</si>
  <si>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</si>
  <si>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</si>
  <si>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</si>
  <si>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</si>
  <si>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</si>
  <si>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</si>
  <si>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</si>
  <si>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</si>
  <si>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Tailem Bend - Solar :</t>
    </r>
    <r>
      <rPr>
        <sz val="9"/>
        <rFont val="Arial"/>
        <family val="2"/>
      </rPr>
      <t xml:space="preserve"> Vena Energy advises that Tailem Bend - Solar (108 MW) is now a committed project.</t>
    </r>
  </si>
  <si>
    <r>
      <t xml:space="preserve">Wind: </t>
    </r>
    <r>
      <rPr>
        <sz val="9"/>
        <rFont val="Arial"/>
        <family val="2"/>
      </rPr>
      <t>Lincoln Gap Wind Farm Stage 1 (126 MW), Willogoleche Wind Farm (125 MW)</t>
    </r>
  </si>
  <si>
    <t>Adelaide Zoo Solar System</t>
  </si>
  <si>
    <t>PV Panels</t>
  </si>
  <si>
    <t>NAWMA - LFG - SOLAR</t>
  </si>
  <si>
    <t>Northern Adelaide Waste Management Authority</t>
  </si>
  <si>
    <t>Solar + methane</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</si>
  <si>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</si>
  <si>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</si>
  <si>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</si>
  <si>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</si>
  <si>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</si>
  <si>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</si>
  <si>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</si>
  <si>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</si>
  <si>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</si>
  <si>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</si>
  <si>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</si>
  <si>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</si>
  <si>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</si>
  <si>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</si>
  <si>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Summer aggregate available scheduled and semi-scheduled generation</t>
  </si>
  <si>
    <t>PowerStation</t>
  </si>
  <si>
    <t>FuelType</t>
  </si>
  <si>
    <t>Season</t>
  </si>
  <si>
    <t>Fossil</t>
  </si>
  <si>
    <t>summer</t>
  </si>
  <si>
    <t>Bungala Three Solar Power Plant</t>
  </si>
  <si>
    <t>Hallett Repower</t>
  </si>
  <si>
    <t>Hydro</t>
  </si>
  <si>
    <t>The table above lists the latest Summer capacities for South Australian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</si>
  <si>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6.7%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</si>
  <si>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</si>
  <si>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</si>
  <si>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</si>
  <si>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</si>
  <si>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</si>
  <si>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NA</t>
  </si>
  <si>
    <t>Summer aggregate available semi-scheduled generation</t>
  </si>
  <si>
    <t>Total (Wind)</t>
  </si>
  <si>
    <t>Total (Solar)</t>
  </si>
  <si>
    <t>Winter aggregate available scheduled and semi-scheduled generation</t>
  </si>
  <si>
    <t>winter</t>
  </si>
  <si>
    <t>The table above lists the latest Winter capacities for South Australian generation. Winter conditions relate to statistically predicted contribution under 10% POE maximum demand conditions.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</si>
  <si>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</si>
  <si>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</si>
  <si>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</si>
  <si>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Carmody's Hill</t>
  </si>
  <si>
    <t>Greenfield - need to secure land agreements</t>
  </si>
  <si>
    <t>140 - 175</t>
  </si>
  <si>
    <t>BESS Modules 1-12</t>
  </si>
  <si>
    <t>Pelican Point S2</t>
  </si>
  <si>
    <t>1
2</t>
  </si>
  <si>
    <t>Quarantine Expansion</t>
  </si>
  <si>
    <t>Origin Energy</t>
  </si>
  <si>
    <t>QPS6-8</t>
  </si>
  <si>
    <t>Spencer Gulf Pumped Storage Hydro</t>
  </si>
  <si>
    <t>to be determined</t>
  </si>
  <si>
    <t>SSE Whyalla Solar Farm</t>
  </si>
  <si>
    <t>SSE Australia Pty Ltd</t>
  </si>
  <si>
    <t>Inverters 1-180</t>
  </si>
  <si>
    <t>Spark Ignition  Reciprocating Engine</t>
  </si>
  <si>
    <t>Battery Storage</t>
  </si>
  <si>
    <t>Nov 2018</t>
  </si>
  <si>
    <t>October 2018</t>
  </si>
  <si>
    <t>Source</t>
  </si>
  <si>
    <t>https://aurorasolarthermal.com.au/</t>
  </si>
  <si>
    <t>http://www.escri-sa.com.au/</t>
  </si>
  <si>
    <t>http://www.alturagroup.com.au/our-projects-goat-hill/</t>
  </si>
  <si>
    <t>http://www.lcke.com.au/</t>
  </si>
  <si>
    <t>http://lincolngapwindfarm.com.au/about-the-project/</t>
  </si>
  <si>
    <t>Planet Ark Power and Schneider Electric - PV and Battery Microgrid</t>
  </si>
  <si>
    <t>Planet Ark Power and Schneider Electric</t>
  </si>
  <si>
    <t>5.7</t>
  </si>
  <si>
    <t>http://www.dpenergy.com/hybrid/port-augusta-renewable-energy-park/</t>
  </si>
  <si>
    <t>https://www.alintaenergy.com.au/about-us/power-generation/reeves-plains-power-station-proposal</t>
  </si>
  <si>
    <t>UniSA Solar project</t>
  </si>
  <si>
    <t>University of South Australia</t>
  </si>
  <si>
    <t>1.8</t>
  </si>
  <si>
    <t>https://www.infigenenergy.com/about-us/news/woakwine-wind-farm-development-approval/</t>
  </si>
  <si>
    <t xml:space="preserve">Winter 2018_x000D_
</t>
  </si>
  <si>
    <t>Quarantine (repower)</t>
  </si>
  <si>
    <t xml:space="preserve">Origin Energy Power Limited </t>
  </si>
  <si>
    <t>OGCT</t>
  </si>
  <si>
    <t>4</t>
  </si>
  <si>
    <t>Dec-2018</t>
  </si>
  <si>
    <t xml:space="preserve">Winter 2019_x000D_
</t>
  </si>
  <si>
    <r>
      <rPr>
        <b/>
        <sz val="9"/>
        <color theme="1"/>
        <rFont val="Arial"/>
        <family val="2"/>
      </rPr>
      <t>Barker Inlet Power Station:</t>
    </r>
    <r>
      <rPr>
        <sz val="9"/>
        <color theme="1"/>
        <rFont val="Arial"/>
        <family val="2"/>
      </rPr>
      <t xml:space="preserve"> Barker Inlet Power Station (210 MW) is now reported as a committed project since AGL advises that it has commenced construction.</t>
    </r>
  </si>
  <si>
    <r>
      <t xml:space="preserve">Storage: </t>
    </r>
    <r>
      <rPr>
        <sz val="9"/>
        <rFont val="Arial"/>
        <family val="2"/>
      </rPr>
      <t>ESCRI</t>
    </r>
    <r>
      <rPr>
        <b/>
        <sz val="9"/>
        <rFont val="Arial"/>
        <family val="2"/>
      </rPr>
      <t xml:space="preserve"> </t>
    </r>
    <r>
      <rPr>
        <sz val="9"/>
        <rFont val="Arial"/>
        <family val="2"/>
      </rPr>
      <t>Dalrymple Battery Storage (30 MW)</t>
    </r>
  </si>
  <si>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</si>
  <si>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</si>
  <si>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</si>
  <si>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</si>
  <si>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</si>
  <si>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</si>
  <si>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</si>
  <si>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</si>
  <si>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54 x 2.5</t>
  </si>
  <si>
    <t>Temporary Generation North</t>
  </si>
  <si>
    <t>Temporary Generation South</t>
  </si>
  <si>
    <t>2019</t>
  </si>
  <si>
    <t>2020</t>
  </si>
  <si>
    <t>2021</t>
  </si>
  <si>
    <t>2022</t>
  </si>
  <si>
    <t>2023</t>
  </si>
  <si>
    <t>2024</t>
  </si>
  <si>
    <t>2025</t>
  </si>
  <si>
    <t>2026</t>
  </si>
  <si>
    <t>2027</t>
  </si>
  <si>
    <t>2028</t>
  </si>
  <si>
    <t/>
  </si>
  <si>
    <t>Bungama Solar</t>
  </si>
  <si>
    <t>280</t>
  </si>
  <si>
    <t>https://www.bungamasolar.com.au/</t>
  </si>
  <si>
    <t>Heathgate Resources Beverley mine - BESS</t>
  </si>
  <si>
    <t>SunSHIFT</t>
  </si>
  <si>
    <t>1 MW / 0.5 MWh</t>
  </si>
  <si>
    <t>http://www.laingorourke.com/media/news-releases/2017/sunshift-welcomes-government-funding-for-innovative-energy-storage-solutions.aspx</t>
  </si>
  <si>
    <t>Pallamana Solar Farm</t>
  </si>
  <si>
    <t>RES Australia Pty Ltd</t>
  </si>
  <si>
    <t>176</t>
  </si>
  <si>
    <t>http://www.pallamana-solarfarm.com/</t>
  </si>
  <si>
    <t>320</t>
  </si>
  <si>
    <t>SA Water PV Plant</t>
  </si>
  <si>
    <t>152</t>
  </si>
  <si>
    <t>https://www.sawater.com.au/news/solar-to-generate-water-savings</t>
  </si>
  <si>
    <t>225</t>
  </si>
  <si>
    <t>The Solar River Project - Stage 1</t>
  </si>
  <si>
    <t>The Solar River Project Pty Ltd</t>
  </si>
  <si>
    <t>200</t>
  </si>
  <si>
    <t>http://www.srproject.com.au/</t>
  </si>
  <si>
    <t>The Solar River Project - Stage 2</t>
  </si>
  <si>
    <t>Twin Creek Wind Farm</t>
  </si>
  <si>
    <t>183.6</t>
  </si>
  <si>
    <t>http://www.twincreek-windfarm.com/</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</si>
  <si>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</si>
  <si>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</si>
  <si>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</si>
  <si>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</si>
  <si>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</si>
  <si>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</si>
  <si>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</si>
  <si>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</si>
  <si>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</si>
  <si>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</si>
  <si>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</si>
  <si>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</si>
  <si>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</si>
  <si>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</si>
  <si>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</si>
  <si>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</si>
  <si>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Solar:</t>
    </r>
    <r>
      <rPr>
        <sz val="9"/>
        <rFont val="Arial"/>
        <family val="2"/>
      </rPr>
      <t xml:space="preserve"> Bungala Two Solar Power Project (110 MW), Tailem Bend - Solar (108 MW)</t>
    </r>
  </si>
  <si>
    <t>AGL VPP</t>
  </si>
  <si>
    <t>Virtual Power Plant</t>
  </si>
  <si>
    <t>5</t>
  </si>
  <si>
    <t>https://arena.gov.au/projects/agl-virtual-power-plant/</t>
  </si>
  <si>
    <t>80</t>
  </si>
  <si>
    <t>EPS Energy</t>
  </si>
  <si>
    <t>30 MW / 8 MWh</t>
  </si>
  <si>
    <t>SA Government Virtual Power Plant - stage 2</t>
  </si>
  <si>
    <t>101 - 1000</t>
  </si>
  <si>
    <t>4.5</t>
  </si>
  <si>
    <t>Simply Energy VPP</t>
  </si>
  <si>
    <t>Simply Energy</t>
  </si>
  <si>
    <t>6</t>
  </si>
  <si>
    <t>https://arena.gov.au/projects/simply-energy-virtual-power-plant-vpp/</t>
  </si>
  <si>
    <t>Unit Number and Nameplate Capacity (MW)</t>
  </si>
  <si>
    <t>Clements Gap Wind Farm</t>
  </si>
  <si>
    <t xml:space="preserve">100 MW / _x000D_
129 MWh_x000D_
</t>
  </si>
  <si>
    <t>Snowtown S2 Wind Farm</t>
  </si>
  <si>
    <t>Snowtown Wind Farm</t>
  </si>
  <si>
    <t>4 x 120</t>
  </si>
  <si>
    <t>Waterloo Wind Farm</t>
  </si>
  <si>
    <t>2018-19</t>
  </si>
  <si>
    <t>2019-20</t>
  </si>
  <si>
    <t>2020-21</t>
  </si>
  <si>
    <t>2021-22</t>
  </si>
  <si>
    <t>2022-23</t>
  </si>
  <si>
    <t>2023-24</t>
  </si>
  <si>
    <t>2024-25</t>
  </si>
  <si>
    <t>2025-26</t>
  </si>
  <si>
    <t>2026-27</t>
  </si>
  <si>
    <t>2027-28</t>
  </si>
  <si>
    <t>https://www.tiltrenewables.com/assets-and-projects/highbury-pumped-hydro-energy-storage/</t>
  </si>
  <si>
    <t>Kingfisher Solar Storage - Solar</t>
  </si>
  <si>
    <t>Kingfisher Solar Storage - Storage</t>
  </si>
  <si>
    <t>100 MW / 400 MWh</t>
  </si>
  <si>
    <t>http://www.lyoninfrastructure.com.au/projects/kingfisher-solar-storage/</t>
  </si>
  <si>
    <t>Riverland Solar Storage - Solar</t>
  </si>
  <si>
    <t>Riverland Solar Storage - Storage</t>
  </si>
  <si>
    <t>http://www.lyoninfrastructure.com.au/projects/riverland-solar-storage/</t>
  </si>
  <si>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</si>
  <si>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r>
  </si>
  <si>
    <t>Note: Updated “Background Information” with changes to categories of proposed generation in the 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</si>
</sst>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3">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color theme="1"/>
      <name val="Arial"/>
      <family val="2"/>
    </font>
    <font>
      <b/>
      <sz val="9"/>
      <color theme="1"/>
      <name val="Arial"/>
      <family val="2"/>
    </font>
    <font>
      <sz val="11"/>
      <color rgb="FF0000FF"/>
      <name val="Calibri"/>
      <family val="2"/>
      <scheme val="minor"/>
    </font>
    <font>
      <b/>
      <sz val="9"/>
      <color rgb="FFF47321"/>
      <name val="Arial"/>
      <family val="2"/>
    </font>
    <font>
      <sz val="9"/>
      <name val="Arial"/>
      <family val="2"/>
    </font>
    <font>
      <b/>
      <sz val="9"/>
      <name val="Arial"/>
      <family val="2"/>
    </font>
    <font>
      <sz val="9"/>
      <color theme="1"/>
      <name val="Symbol"/>
      <family val="1"/>
      <charset val="2"/>
    </font>
    <font>
      <sz val="11"/>
      <color rgb="FF009900"/>
      <name val="Arial"/>
      <family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sz val="11"/>
      <name val="Calibri"/>
      <family val="2"/>
      <scheme val="minor"/>
    </font>
    <font>
      <sz val="10"/>
      <color rgb="FF0000FF"/>
      <name val="Calibri"/>
      <family val="2"/>
      <scheme val="minor"/>
    </font>
    <font>
      <b/>
      <sz val="8"/>
      <color theme="1"/>
      <name val="Arial"/>
      <family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5">
    <xf numFmtId="0" fontId="0" fillId="0" borderId="0"/>
    <xf numFmtId="43" fontId="8" fillId="0" borderId="0" applyFont="0" applyFill="0" applyBorder="0" applyAlignment="0" applyProtection="0"/>
    <xf numFmtId="0" fontId="10" fillId="0" borderId="0" applyNumberFormat="0" applyFill="0" applyBorder="0" applyAlignment="0" applyProtection="0"/>
    <xf numFmtId="0" fontId="29" fillId="0" borderId="0"/>
    <xf numFmtId="0" fontId="8" fillId="0" borderId="0"/>
  </cellStyleXfs>
  <cellXfs count="162">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xf numFmtId="0" fontId="4" fillId="7" borderId="1"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8" xfId="0" applyNumberFormat="1" applyFont="1" applyFill="1" applyBorder="1" applyAlignment="1">
      <alignment horizontal="left" vertical="center" wrapText="1"/>
    </xf>
    <xf numFmtId="0" fontId="3" fillId="6" borderId="10"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8" xfId="0" applyNumberFormat="1" applyFont="1" applyFill="1" applyBorder="1" applyAlignment="1">
      <alignment horizontal="center" vertical="center" wrapText="1"/>
    </xf>
    <xf numFmtId="0" fontId="4" fillId="8" borderId="10"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8" xfId="0" applyNumberFormat="1" applyFont="1" applyFill="1" applyBorder="1" applyAlignment="1">
      <alignment horizontal="center" vertical="center"/>
    </xf>
    <xf numFmtId="0" fontId="7" fillId="0" borderId="0" xfId="0" applyFont="1"/>
    <xf numFmtId="0" fontId="0" fillId="0" borderId="0" xfId="0"/>
    <xf numFmtId="0" fontId="5" fillId="0" borderId="4" xfId="0" applyFont="1" applyBorder="1" applyAlignment="1"/>
    <xf numFmtId="0" fontId="5" fillId="0" borderId="0" xfId="0" applyFont="1" applyBorder="1" applyAlignment="1"/>
    <xf numFmtId="0" fontId="5" fillId="0" borderId="11" xfId="0" applyFont="1" applyBorder="1" applyAlignment="1"/>
    <xf numFmtId="0" fontId="11" fillId="0" borderId="0" xfId="2" applyFont="1" applyBorder="1" applyAlignment="1">
      <alignment horizontal="left"/>
    </xf>
    <xf numFmtId="0" fontId="12" fillId="0" borderId="0" xfId="0" applyFont="1" applyBorder="1" applyAlignment="1">
      <alignment horizontal="left"/>
    </xf>
    <xf numFmtId="0" fontId="1" fillId="9" borderId="0" xfId="0" applyFont="1" applyFill="1" applyAlignment="1">
      <alignment vertical="center"/>
    </xf>
    <xf numFmtId="0" fontId="0" fillId="9" borderId="0" xfId="0" applyFill="1"/>
    <xf numFmtId="0" fontId="13" fillId="9" borderId="0" xfId="0" applyFont="1" applyFill="1" applyAlignment="1">
      <alignment horizontal="left" vertical="center"/>
    </xf>
    <xf numFmtId="0" fontId="14" fillId="9" borderId="0" xfId="0" applyFont="1" applyFill="1" applyAlignment="1">
      <alignment horizontal="left" wrapText="1"/>
    </xf>
    <xf numFmtId="0" fontId="16" fillId="0" borderId="0" xfId="0" applyFont="1" applyFill="1" applyAlignment="1"/>
    <xf numFmtId="0" fontId="0" fillId="0" borderId="0" xfId="0" applyFill="1"/>
    <xf numFmtId="0" fontId="17" fillId="0" borderId="0" xfId="0" applyFont="1" applyFill="1" applyAlignment="1">
      <alignment vertical="center"/>
    </xf>
    <xf numFmtId="0" fontId="18" fillId="9" borderId="0" xfId="0" applyFont="1" applyFill="1" applyAlignment="1">
      <alignment vertical="center"/>
    </xf>
    <xf numFmtId="0" fontId="19" fillId="9" borderId="0" xfId="0" applyFont="1" applyFill="1" applyAlignment="1">
      <alignment vertical="center" wrapText="1"/>
    </xf>
    <xf numFmtId="0" fontId="16" fillId="9" borderId="0" xfId="0" applyFont="1" applyFill="1" applyAlignment="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xf numFmtId="0" fontId="13" fillId="0" borderId="0" xfId="0" applyFont="1" applyFill="1" applyAlignment="1">
      <alignment horizontal="left" vertical="center"/>
    </xf>
    <xf numFmtId="0" fontId="18" fillId="9" borderId="0" xfId="0" applyFont="1" applyFill="1"/>
    <xf numFmtId="0" fontId="20" fillId="0" borderId="0" xfId="0" applyFont="1" applyFill="1" applyAlignment="1">
      <alignment horizontal="left" vertical="center" indent="2"/>
    </xf>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15" fontId="15" fillId="9" borderId="0" xfId="0" applyNumberFormat="1" applyFont="1" applyFill="1"/>
    <xf numFmtId="0" fontId="21" fillId="9" borderId="0" xfId="0" applyFont="1" applyFill="1"/>
    <xf numFmtId="0" fontId="19" fillId="9" borderId="0" xfId="0" applyFont="1" applyFill="1" applyAlignment="1">
      <alignment vertical="center"/>
    </xf>
    <xf numFmtId="0" fontId="18" fillId="0" borderId="0" xfId="0" applyFont="1" applyFill="1" applyAlignment="1">
      <alignment vertical="center" wrapText="1"/>
    </xf>
    <xf numFmtId="0" fontId="18" fillId="9" borderId="0" xfId="0" applyFont="1" applyFill="1" applyAlignment="1">
      <alignment horizontal="left" vertical="center" wrapText="1"/>
    </xf>
    <xf numFmtId="0" fontId="15" fillId="0" borderId="0" xfId="0" applyFont="1" applyFill="1" applyAlignment="1">
      <alignment horizontal="left" vertical="center" wrapText="1"/>
    </xf>
    <xf numFmtId="0" fontId="14" fillId="9" borderId="0" xfId="0" applyFont="1" applyFill="1" applyAlignment="1">
      <alignment horizontal="left" wrapText="1"/>
    </xf>
    <xf numFmtId="0" fontId="0" fillId="0" borderId="0" xfId="0"/>
    <xf numFmtId="0" fontId="0" fillId="0" borderId="0" xfId="0"/>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0" fillId="9" borderId="0" xfId="0" applyFont="1" applyFill="1" applyAlignment="1">
      <alignment horizontal="left" indent="3"/>
    </xf>
    <xf numFmtId="0" fontId="30" fillId="9" borderId="0" xfId="0" applyFont="1" applyFill="1"/>
    <xf numFmtId="0" fontId="30" fillId="9" borderId="0" xfId="0" applyFont="1" applyFill="1" applyAlignment="1">
      <alignment horizontal="left" indent="1"/>
    </xf>
    <xf numFmtId="0" fontId="32" fillId="2" borderId="1" xfId="0" applyFont="1" applyFill="1" applyBorder="1" applyAlignment="1">
      <alignment horizontal="center" vertical="center" wrapText="1"/>
    </xf>
    <xf numFmtId="0" fontId="1" fillId="9" borderId="1" xfId="0" applyFont="1" applyFill="1" applyBorder="1" applyAlignment="1">
      <alignment horizontal="left"/>
    </xf>
    <xf numFmtId="3" fontId="31" fillId="9" borderId="0" xfId="1" applyNumberFormat="1" applyFont="1" applyFill="1" applyAlignment="1">
      <alignment horizontal="center"/>
    </xf>
    <xf numFmtId="0" fontId="3" fillId="3" borderId="5" xfId="0" applyFont="1" applyFill="1" applyBorder="1" applyAlignment="1">
      <alignment horizontal="left" vertical="center" wrapText="1"/>
    </xf>
    <xf numFmtId="1" fontId="4" fillId="5" borderId="6" xfId="0" applyNumberFormat="1" applyFont="1" applyFill="1" applyBorder="1" applyAlignment="1">
      <alignment horizontal="center" vertical="center"/>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 fillId="3" borderId="17" xfId="0" applyFont="1" applyFill="1" applyBorder="1" applyAlignment="1">
      <alignment horizontal="left" vertical="center" wrapText="1"/>
    </xf>
    <xf numFmtId="1" fontId="4" fillId="4" borderId="10"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1" fontId="4" fillId="5" borderId="18" xfId="0" applyNumberFormat="1" applyFont="1" applyFill="1" applyBorder="1" applyAlignment="1">
      <alignment horizontal="center" vertical="center"/>
    </xf>
    <xf numFmtId="0" fontId="0" fillId="9" borderId="0" xfId="0" applyFill="1"/>
    <xf numFmtId="0" fontId="0" fillId="0" borderId="0" xfId="0"/>
    <xf numFmtId="0" fontId="4" fillId="7" borderId="19" xfId="0" applyNumberFormat="1" applyFont="1" applyFill="1" applyBorder="1" applyAlignment="1">
      <alignment horizontal="center" vertical="center"/>
    </xf>
    <xf numFmtId="0" fontId="4" fillId="8" borderId="19" xfId="0" applyNumberFormat="1" applyFont="1" applyFill="1" applyBorder="1" applyAlignment="1">
      <alignment horizontal="center" vertical="center"/>
    </xf>
    <xf numFmtId="0" fontId="3" fillId="6" borderId="8" xfId="0" applyNumberFormat="1" applyFont="1" applyFill="1" applyBorder="1" applyAlignment="1">
      <alignment vertical="center" wrapText="1"/>
    </xf>
    <xf numFmtId="0" fontId="4" fillId="7" borderId="8" xfId="0" applyNumberFormat="1" applyFont="1" applyFill="1" applyBorder="1" applyAlignment="1">
      <alignment vertical="center" wrapText="1"/>
    </xf>
    <xf numFmtId="1" fontId="4" fillId="8" borderId="8" xfId="0" applyNumberFormat="1" applyFont="1" applyFill="1" applyBorder="1" applyAlignment="1">
      <alignment vertical="center"/>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1" fontId="4" fillId="8" borderId="1" xfId="0" applyNumberFormat="1" applyFont="1" applyFill="1" applyBorder="1" applyAlignment="1">
      <alignment vertical="center"/>
    </xf>
    <xf numFmtId="0" fontId="3" fillId="6" borderId="7" xfId="0" applyNumberFormat="1" applyFont="1" applyFill="1" applyBorder="1" applyAlignment="1">
      <alignment vertical="center"/>
    </xf>
    <xf numFmtId="0" fontId="4" fillId="8" borderId="8" xfId="0" quotePrefix="1" applyNumberFormat="1" applyFont="1" applyFill="1" applyBorder="1" applyAlignment="1">
      <alignment vertical="center"/>
    </xf>
    <xf numFmtId="0" fontId="4" fillId="7" borderId="8" xfId="0" applyNumberFormat="1" applyFont="1" applyFill="1" applyBorder="1" applyAlignment="1">
      <alignment vertical="center"/>
    </xf>
    <xf numFmtId="0" fontId="3" fillId="6" borderId="5" xfId="0" applyNumberFormat="1" applyFont="1" applyFill="1" applyBorder="1" applyAlignment="1">
      <alignment vertical="center"/>
    </xf>
    <xf numFmtId="0" fontId="4" fillId="8" borderId="1" xfId="0" quotePrefix="1" applyNumberFormat="1" applyFont="1" applyFill="1" applyBorder="1" applyAlignment="1">
      <alignment vertical="center"/>
    </xf>
    <xf numFmtId="0" fontId="4" fillId="7" borderId="1" xfId="0" applyNumberFormat="1" applyFont="1" applyFill="1" applyBorder="1" applyAlignment="1">
      <alignment vertical="center"/>
    </xf>
    <xf numFmtId="0" fontId="4" fillId="8" borderId="1" xfId="0" applyNumberFormat="1" applyFont="1" applyFill="1" applyBorder="1" applyAlignment="1">
      <alignment vertical="center"/>
    </xf>
    <xf numFmtId="0" fontId="3" fillId="6" borderId="17" xfId="0" applyNumberFormat="1" applyFont="1" applyFill="1" applyBorder="1" applyAlignment="1">
      <alignment vertical="center"/>
    </xf>
    <xf numFmtId="0" fontId="4" fillId="7" borderId="10" xfId="0" applyNumberFormat="1" applyFont="1" applyFill="1" applyBorder="1" applyAlignment="1">
      <alignment vertical="center" wrapText="1"/>
    </xf>
    <xf numFmtId="0" fontId="4" fillId="8" borderId="10" xfId="0" applyNumberFormat="1" applyFont="1" applyFill="1" applyBorder="1" applyAlignment="1">
      <alignment vertical="center"/>
    </xf>
    <xf numFmtId="0" fontId="4" fillId="7" borderId="10" xfId="0" applyNumberFormat="1" applyFont="1" applyFill="1" applyBorder="1" applyAlignment="1">
      <alignment vertical="center"/>
    </xf>
    <xf numFmtId="0" fontId="0" fillId="9" borderId="0" xfId="0" applyFill="1"/>
    <xf numFmtId="0" fontId="25" fillId="2" borderId="1" xfId="0" applyFont="1" applyFill="1" applyBorder="1" applyAlignment="1">
      <alignment horizontal="center" vertical="center" wrapText="1"/>
    </xf>
    <xf numFmtId="0" fontId="30" fillId="9" borderId="0" xfId="0" applyFont="1" applyFill="1" applyAlignment="1">
      <alignment horizontal="left" vertical="top"/>
    </xf>
    <xf numFmtId="0" fontId="0" fillId="9" borderId="0" xfId="0" applyFill="1" applyAlignment="1">
      <alignment horizontal="left" vertical="top"/>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0" fillId="9" borderId="0" xfId="1" applyNumberFormat="1" applyFont="1" applyFill="1"/>
    <xf numFmtId="165" fontId="2" fillId="4" borderId="1" xfId="1" applyNumberFormat="1" applyFont="1" applyFill="1" applyBorder="1" applyAlignment="1">
      <alignment horizontal="center" vertical="center"/>
    </xf>
    <xf numFmtId="165" fontId="4" fillId="4" borderId="10" xfId="1" applyNumberFormat="1" applyFont="1" applyFill="1" applyBorder="1" applyAlignment="1">
      <alignment horizontal="center" vertical="center"/>
    </xf>
    <xf numFmtId="165" fontId="4" fillId="5" borderId="10"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8" fillId="9" borderId="0" xfId="4" applyFont="1" applyFill="1" applyAlignment="1">
      <alignment vertical="top" wrapText="1"/>
    </xf>
    <xf numFmtId="0" fontId="14" fillId="9" borderId="0" xfId="4" applyFont="1" applyFill="1" applyAlignment="1">
      <alignment vertical="center"/>
    </xf>
    <xf numFmtId="0" fontId="13" fillId="9" borderId="0" xfId="4" applyFont="1" applyFill="1" applyAlignment="1">
      <alignment vertical="center"/>
    </xf>
    <xf numFmtId="0" fontId="20" fillId="9" borderId="0" xfId="4" applyFont="1" applyFill="1" applyAlignment="1">
      <alignment horizontal="left" vertical="center" indent="2"/>
    </xf>
    <xf numFmtId="0" fontId="24" fillId="9" borderId="0" xfId="4" applyFont="1" applyFill="1" applyAlignment="1">
      <alignment vertical="center"/>
    </xf>
    <xf numFmtId="0" fontId="25" fillId="10" borderId="16" xfId="4" applyFont="1" applyFill="1" applyBorder="1" applyAlignment="1">
      <alignment horizontal="left" vertical="center"/>
    </xf>
    <xf numFmtId="0" fontId="26" fillId="6" borderId="7" xfId="4" applyFont="1" applyFill="1" applyBorder="1" applyAlignment="1">
      <alignment vertical="center" wrapText="1"/>
    </xf>
    <xf numFmtId="0" fontId="27" fillId="9" borderId="15"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5" xfId="4" applyFont="1" applyFill="1" applyBorder="1" applyAlignment="1">
      <alignment horizontal="left" vertical="center"/>
    </xf>
    <xf numFmtId="0" fontId="9" fillId="9" borderId="7" xfId="4" applyFont="1" applyFill="1" applyBorder="1" applyAlignment="1">
      <alignment vertical="center"/>
    </xf>
    <xf numFmtId="0" fontId="30" fillId="9" borderId="0" xfId="0" applyFont="1" applyFill="1" applyAlignment="1">
      <alignment horizontal="left" wrapText="1"/>
    </xf>
    <xf numFmtId="0" fontId="30" fillId="9" borderId="0" xfId="0" applyFont="1" applyFill="1" applyAlignment="1">
      <alignment horizontal="left" vertical="top" wrapText="1"/>
    </xf>
    <xf numFmtId="0" fontId="4" fillId="8" borderId="19" xfId="0" quotePrefix="1" applyNumberFormat="1" applyFont="1" applyFill="1" applyBorder="1" applyAlignment="1">
      <alignment horizontal="center" vertical="center"/>
    </xf>
    <xf numFmtId="0" fontId="25" fillId="2" borderId="1" xfId="0" applyFont="1" applyFill="1" applyBorder="1" applyAlignment="1">
      <alignment horizontal="center" vertical="center"/>
    </xf>
    <xf numFmtId="0" fontId="0" fillId="0" borderId="0" xfId="0" applyAlignment="1">
      <alignment vertical="center"/>
    </xf>
    <xf numFmtId="0" fontId="4" fillId="0" borderId="0" xfId="0" applyFont="1" applyAlignment="1">
      <alignment wrapText="1"/>
    </xf>
    <xf numFmtId="0" fontId="0" fillId="0" borderId="0" xfId="0"/>
    <xf numFmtId="0" fontId="11" fillId="0" borderId="12" xfId="2" applyFont="1" applyBorder="1" applyAlignment="1">
      <alignment horizontal="left" wrapText="1"/>
    </xf>
    <xf numFmtId="0" fontId="11" fillId="0" borderId="13" xfId="2" applyFont="1" applyBorder="1" applyAlignment="1">
      <alignment horizontal="left" wrapText="1"/>
    </xf>
    <xf numFmtId="0" fontId="11" fillId="0" borderId="14" xfId="2" applyFont="1" applyBorder="1" applyAlignment="1">
      <alignment horizontal="left" wrapText="1"/>
    </xf>
    <xf numFmtId="0" fontId="13" fillId="0" borderId="0" xfId="0" applyFont="1" applyFill="1" applyAlignment="1">
      <alignment horizontal="left" vertical="center"/>
    </xf>
    <xf numFmtId="0" fontId="14" fillId="9"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8" fillId="9" borderId="0" xfId="3" applyFont="1" applyFill="1" applyAlignment="1">
      <alignment horizontal="left" vertical="center" wrapText="1"/>
    </xf>
    <xf numFmtId="0" fontId="15" fillId="9" borderId="0" xfId="0" applyFont="1" applyFill="1" applyAlignment="1">
      <alignment horizontal="left" vertical="center" wrapText="1"/>
    </xf>
    <xf numFmtId="0" fontId="18" fillId="9" borderId="0" xfId="0" applyFont="1" applyFill="1" applyAlignment="1">
      <alignment horizontal="left" vertical="center" wrapText="1"/>
    </xf>
    <xf numFmtId="0" fontId="19" fillId="9" borderId="0" xfId="0" applyFont="1" applyFill="1" applyAlignment="1">
      <alignment horizontal="left" vertical="center" wrapText="1"/>
    </xf>
    <xf numFmtId="0" fontId="14" fillId="0" borderId="0" xfId="0" applyFont="1" applyFill="1" applyAlignment="1">
      <alignment horizontal="left" vertical="center" wrapText="1"/>
    </xf>
    <xf numFmtId="0" fontId="14" fillId="9" borderId="0" xfId="0" applyFont="1" applyFill="1" applyAlignment="1">
      <alignment horizontal="left" wrapText="1"/>
    </xf>
    <xf numFmtId="0" fontId="5" fillId="9" borderId="0" xfId="0" applyFont="1" applyFill="1" applyAlignment="1">
      <alignment horizontal="left" vertical="top" wrapText="1"/>
    </xf>
    <xf numFmtId="0" fontId="27" fillId="9" borderId="15"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xf numFmtId="0" fontId="25" fillId="10" borderId="15" xfId="4" applyFont="1" applyFill="1" applyBorder="1" applyAlignment="1">
      <alignment horizontal="left" vertical="center"/>
    </xf>
    <xf numFmtId="0" fontId="25" fillId="10" borderId="0" xfId="4" applyFont="1" applyFill="1" applyBorder="1" applyAlignment="1">
      <alignment horizontal="left" vertical="center"/>
    </xf>
    <xf numFmtId="0" fontId="14" fillId="9" borderId="0" xfId="4" applyFont="1" applyFill="1" applyAlignment="1">
      <alignment horizontal="left" vertical="center" wrapText="1"/>
    </xf>
    <xf numFmtId="0" fontId="23"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0" fillId="9" borderId="0" xfId="4" applyFont="1" applyFill="1" applyAlignment="1">
      <alignment horizontal="left" vertical="center" wrapText="1"/>
    </xf>
    <xf numFmtId="0" fontId="18" fillId="9" borderId="0" xfId="4" applyFont="1" applyFill="1" applyAlignment="1">
      <alignment horizontal="left" vertical="center" wrapText="1"/>
    </xf>
    <xf numFmtId="0" fontId="18" fillId="9" borderId="0" xfId="4" applyFont="1" applyFill="1" applyAlignment="1">
      <alignment vertical="top" wrapText="1"/>
    </xf>
  </cellXfs>
  <cellStyles count="5">
    <cellStyle name="Comma" xfId="1" builtinId="3"/>
    <cellStyle name="Hyperlink" xfId="2" builtinId="8"/>
    <cellStyle name="Normal" xfId="0" builtinId="0"/>
    <cellStyle name="Normal 2" xfId="3" xr:uid="{00000000-0005-0000-0000-000003000000}"/>
    <cellStyle name="Normal 2 2" xfId="4" xr:uid="{65D49600-5838-4E23-A571-9969D3F9FD75}"/>
  </cellStyles>
  <dxfs count="147">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'South Australia Summary'!$B$60</c:f>
              <c:strCache>
                <c:ptCount val="1"/>
                <c:pt idx="0">
                  <c:v>Existing less Announced Withdrawal</c:v>
                </c:pt>
              </c:strCache>
            </c:strRef>
          </c:tx>
          <c:spPr>
            <a:solidFill>
              <a:schemeClr val="accent6">
                <a:lumMod val="75000"/>
              </a:schemeClr>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'South Australia Summary'!$C$60:$L$60</c:f>
              <c:numCache>
                <c:formatCode>_-* #,##0_-;\-* #,##0_-;_-* "-"??_-;_-@_-</c:formatCode>
                <c:ptCount val="10"/>
                <c:pt idx="0">
                  <c:v>0</c:v>
                </c:pt>
                <c:pt idx="1">
                  <c:v>662.5</c:v>
                </c:pt>
                <c:pt idx="2">
                  <c:v>1198.0400000000002</c:v>
                </c:pt>
                <c:pt idx="3">
                  <c:v>800</c:v>
                </c:pt>
                <c:pt idx="4">
                  <c:v>121.6178</c:v>
                </c:pt>
                <c:pt idx="5">
                  <c:v>1809.4499999999998</c:v>
                </c:pt>
                <c:pt idx="6">
                  <c:v>3.85</c:v>
                </c:pt>
                <c:pt idx="7">
                  <c:v>20.472999999999999</c:v>
                </c:pt>
                <c:pt idx="8">
                  <c:v>100</c:v>
                </c:pt>
                <c:pt idx="9">
                  <c:v>144.69800000000001</c:v>
                </c:pt>
              </c:numCache>
            </c:numRef>
          </c:val>
          <c:extLst>
            <c:ext xmlns:c16="http://schemas.microsoft.com/office/drawing/2014/chart" uri="{C3380CC4-5D6E-409C-BE32-E72D297353CC}">
              <c16:uniqueId val="{00000001-A3D1-482D-B116-277E85E54BB3}"/>
            </c:ext>
          </c:extLst>
        </c:ser>
        <c:ser>
          <c:idx val="0"/>
          <c:order val="1"/>
          <c:tx>
            <c:strRef>
              <c:f>'South Australia Summary'!$B$59</c:f>
              <c:strCache>
                <c:ptCount val="1"/>
                <c:pt idx="0">
                  <c:v>Announced Withdrawal</c:v>
                </c:pt>
              </c:strCache>
            </c:strRef>
          </c:tx>
          <c:spPr>
            <a:solidFill>
              <a:srgbClr val="FFC000"/>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'South Australia Summary'!$C$59:$L$59</c:f>
              <c:numCache>
                <c:formatCode>_-* #,##0_-;\-* #,##0_-;_-* "-"??_-;_-@_-</c:formatCode>
                <c:ptCount val="10"/>
                <c:pt idx="0">
                  <c:v>0</c:v>
                </c:pt>
                <c:pt idx="1">
                  <c:v>0</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'South Australia Summary'!$B$61</c:f>
              <c:strCache>
                <c:ptCount val="1"/>
                <c:pt idx="0">
                  <c:v>Committed</c:v>
                </c:pt>
              </c:strCache>
            </c:strRef>
          </c:tx>
          <c:spPr>
            <a:solidFill>
              <a:schemeClr val="tx2"/>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'South Australia Summary'!$C$61:$L$61</c:f>
              <c:numCache>
                <c:formatCode>_-* #,##0_-;\-* #,##0_-;_-* "-"??_-;_-@_-</c:formatCode>
                <c:ptCount val="10"/>
                <c:pt idx="0">
                  <c:v>0</c:v>
                </c:pt>
                <c:pt idx="1">
                  <c:v>0</c:v>
                </c:pt>
                <c:pt idx="2">
                  <c:v>0</c:v>
                </c:pt>
                <c:pt idx="3">
                  <c:v>210</c:v>
                </c:pt>
                <c:pt idx="4">
                  <c:v>218</c:v>
                </c:pt>
                <c:pt idx="5">
                  <c:v>251</c:v>
                </c:pt>
                <c:pt idx="6">
                  <c:v>0</c:v>
                </c:pt>
                <c:pt idx="7">
                  <c:v>0</c:v>
                </c:pt>
                <c:pt idx="8">
                  <c:v>30</c:v>
                </c:pt>
                <c:pt idx="9">
                  <c:v>0</c:v>
                </c:pt>
              </c:numCache>
            </c:numRef>
          </c:val>
          <c:extLst>
            <c:ext xmlns:c16="http://schemas.microsoft.com/office/drawing/2014/chart" uri="{C3380CC4-5D6E-409C-BE32-E72D297353CC}">
              <c16:uniqueId val="{00000002-A3D1-482D-B116-277E85E54BB3}"/>
            </c:ext>
          </c:extLst>
        </c:ser>
        <c:ser>
          <c:idx val="3"/>
          <c:order val="3"/>
          <c:tx>
            <c:strRef>
              <c:f>'South Australia Summary'!$B$62</c:f>
              <c:strCache>
                <c:ptCount val="1"/>
                <c:pt idx="0">
                  <c:v>Proposed</c:v>
                </c:pt>
              </c:strCache>
            </c:strRef>
          </c:tx>
          <c:spPr>
            <a:solidFill>
              <a:schemeClr val="accent1">
                <a:lumMod val="40000"/>
                <a:lumOff val="60000"/>
              </a:schemeClr>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'South Australia Summary'!$C$62:$L$62</c:f>
              <c:numCache>
                <c:formatCode>_-* #,##0_-;\-* #,##0_-;_-* "-"??_-;_-@_-</c:formatCode>
                <c:ptCount val="10"/>
                <c:pt idx="0">
                  <c:v>0</c:v>
                </c:pt>
                <c:pt idx="1">
                  <c:v>45</c:v>
                </c:pt>
                <c:pt idx="2">
                  <c:v>624</c:v>
                </c:pt>
                <c:pt idx="3">
                  <c:v>0</c:v>
                </c:pt>
                <c:pt idx="4">
                  <c:v>2387.5</c:v>
                </c:pt>
                <c:pt idx="5">
                  <c:v>3329.8</c:v>
                </c:pt>
                <c:pt idx="6">
                  <c:v>755</c:v>
                </c:pt>
                <c:pt idx="7">
                  <c:v>15</c:v>
                </c:pt>
                <c:pt idx="8">
                  <c:v>488</c:v>
                </c:pt>
                <c:pt idx="9">
                  <c:v>30</c:v>
                </c:pt>
              </c:numCache>
            </c:numRef>
          </c:val>
          <c:extLst>
            <c:ext xmlns:c16="http://schemas.microsoft.com/office/drawing/2014/chart" uri="{C3380CC4-5D6E-409C-BE32-E72D297353CC}">
              <c16:uniqueId val="{00000003-A3D1-482D-B116-277E85E54BB3}"/>
            </c:ext>
          </c:extLst>
        </c:ser>
        <c:ser>
          <c:idx val="4"/>
          <c:order val="4"/>
          <c:tx>
            <c:strRef>
              <c:f>'South Australia Summary'!$B$63</c:f>
              <c:strCache>
                <c:ptCount val="1"/>
                <c:pt idx="0">
                  <c:v>Withdrawn</c:v>
                </c:pt>
              </c:strCache>
            </c:strRef>
          </c:tx>
          <c:spPr>
            <a:solidFill>
              <a:schemeClr val="accent2"/>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'South Australia Summary'!$C$63:$L$63</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34</xdr:row>
      <xdr:rowOff>157161</xdr:rowOff>
    </xdr:from>
    <xdr:to>
      <xdr:col>12</xdr:col>
      <xdr:colOff>571499</xdr:colOff>
      <xdr:row>55</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SA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hanges"/>
      <sheetName val="South Austral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C3" t="str">
            <v>Legend</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33" totalsRowShown="0" headerRowDxfId="146" headerRowBorderDxfId="145">
  <autoFilter ref="A2:K33" xr:uid="{AA771407-349D-4858-8C7B-2F7538D808AF}"/>
  <tableColumns count="11">
    <tableColumn id="1" xr3:uid="{00000000-0010-0000-0000-000001000000}" name="Power Station" dataDxfId="144"/>
    <tableColumn id="2" xr3:uid="{00000000-0010-0000-0000-000002000000}" name="Owner" dataDxfId="143"/>
    <tableColumn id="3" xr3:uid="{F5C68F97-3989-414B-9AAF-40BEE646BBBF}" name="Unit Number and Nameplate Capacity (MW)" dataDxfId="142"/>
    <tableColumn id="4" xr3:uid="{F0D82A26-F463-4396-BFA7-4E052571ADF0}" name="Nameplate Capacity (MW)" dataDxfId="141"/>
    <tableColumn id="5" xr3:uid="{00000000-0010-0000-0000-000005000000}" name="Technology Type" dataDxfId="140"/>
    <tableColumn id="6" xr3:uid="{00000000-0010-0000-0000-000006000000}" name="Fuel Type" dataDxfId="139"/>
    <tableColumn id="7" xr3:uid="{00000000-0010-0000-0000-000007000000}" name="Dispatch Type" dataDxfId="138"/>
    <tableColumn id="8" xr3:uid="{00000000-0010-0000-0000-000008000000}" name="Service Status"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0" totalsRowShown="0" headerRowDxfId="133" headerRowBorderDxfId="132">
  <autoFilter ref="A2:O40" xr:uid="{E584D75B-F9E0-491D-889E-E3E3049ABFC1}"/>
  <tableColumns count="15">
    <tableColumn id="1" xr3:uid="{00000000-0010-0000-0100-000001000000}" name="Power 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 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0:O70" totalsRowShown="0" headerRowDxfId="116" headerRowBorderDxfId="115">
  <autoFilter ref="A50:O70" xr:uid="{E313DD1E-408F-4361-AD2F-ED376EDEE0E9}"/>
  <tableColumns count="15">
    <tableColumn id="1" xr3:uid="{00000000-0010-0000-0200-000001000000}" name="Power 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 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7:O95" totalsRowShown="0" headerRowDxfId="99" headerRowBorderDxfId="98">
  <autoFilter ref="A77:O95" xr:uid="{EDEA11E1-74FB-4641-9C8C-8C0A38495B27}"/>
  <tableColumns count="15">
    <tableColumn id="1" xr3:uid="{00000000-0010-0000-0300-000001000000}" name="Power 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 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0" totalsRowShown="0" headerRowDxfId="82" headerRowBorderDxfId="81" tableBorderDxfId="80">
  <autoFilter ref="A2:O40" xr:uid="{2BE5044F-12C0-40DF-B62C-75A09B21BF8D}"/>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0:O70" totalsRowShown="0" headerRowDxfId="64" headerRowBorderDxfId="63" tableBorderDxfId="62">
  <autoFilter ref="A50:O70" xr:uid="{6DCCFEB5-FBD9-4B4D-A7BA-A60A90A067F7}"/>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7:O95" totalsRowShown="0" headerRowDxfId="46" headerRowBorderDxfId="45" tableBorderDxfId="44">
  <autoFilter ref="A77:O95" xr:uid="{7B3C59A5-EB59-4B52-8A10-A002F99210AD}"/>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38" totalsRowShown="0" headerRowDxfId="28" headerRowBorderDxfId="27">
  <autoFilter ref="A2:I38" xr:uid="{9E2606D1-A66B-4E39-8D8E-E28DD61D578C}"/>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5DE5CD59-020D-4550-9980-632229269B36}"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60" totalsRowShown="0" headerRowDxfId="17" headerRowBorderDxfId="16" tableBorderDxfId="15">
  <autoFilter ref="A2:O60" xr:uid="{BABE0FA5-C9F3-4B59-B2B9-B69226108BF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5"/>
  <sheetViews>
    <sheetView showGridLines="0" tabSelected="1" workbookViewId="0"/>
  </sheetViews>
  <sheetFormatPr defaultRowHeight="15"/>
  <cols>
    <col min="1" max="1" width="4.7109375" customWidth="1"/>
    <col min="2" max="2" width="40.7109375" customWidth="1"/>
    <col min="11" max="11" width="9.140625" style="7"/>
  </cols>
  <sheetData>
    <row r="1" spans="1:14">
      <c r="A1" s="23" t="s">
        <v>15</v>
      </c>
    </row>
    <row r="2" spans="1:14">
      <c r="B2" s="5" t="s">
        <v>163</v>
      </c>
      <c r="C2" s="4"/>
      <c r="D2" s="4"/>
      <c r="E2" s="4"/>
      <c r="F2" s="4"/>
      <c r="G2" s="4"/>
      <c r="H2" s="4"/>
      <c r="I2" s="4"/>
      <c r="J2" s="6"/>
      <c r="K2" s="8"/>
    </row>
    <row r="3" spans="1:14">
      <c r="B3" s="6" t="s">
        <v>164</v>
      </c>
      <c r="J3" s="6"/>
      <c r="K3" s="8"/>
    </row>
    <row r="4" spans="1:14">
      <c r="B4" s="25" t="s">
        <v>306</v>
      </c>
      <c r="C4" s="26"/>
      <c r="D4" s="26"/>
      <c r="E4" s="26"/>
      <c r="F4" s="26"/>
      <c r="G4" s="26"/>
      <c r="H4" s="26"/>
      <c r="I4" s="27"/>
      <c r="J4" s="6"/>
      <c r="K4" s="11"/>
      <c r="L4" s="11"/>
      <c r="M4" s="11"/>
      <c r="N4" s="11"/>
    </row>
    <row r="5" spans="1:14" ht="15.75" thickBot="1">
      <c r="B5" s="136" t="s">
        <v>307</v>
      </c>
      <c r="C5" s="137"/>
      <c r="D5" s="137"/>
      <c r="E5" s="137"/>
      <c r="F5" s="137"/>
      <c r="G5" s="137"/>
      <c r="H5" s="137"/>
      <c r="I5" s="138"/>
      <c r="J5" s="6"/>
      <c r="K5" s="11"/>
      <c r="L5" s="11"/>
      <c r="M5" s="11"/>
      <c r="N5" s="11"/>
    </row>
    <row r="6" spans="1:14" ht="15.75" thickTop="1">
      <c r="B6" s="28"/>
      <c r="C6" s="28"/>
      <c r="D6" s="28"/>
      <c r="E6" s="28"/>
      <c r="F6" s="28"/>
      <c r="G6" s="28"/>
      <c r="H6" s="28"/>
      <c r="I6" s="28"/>
      <c r="J6" s="8"/>
      <c r="K6" s="11"/>
      <c r="L6" s="11"/>
      <c r="M6" s="11"/>
      <c r="N6" s="11"/>
    </row>
    <row r="7" spans="1:14">
      <c r="B7" s="29" t="s">
        <v>324</v>
      </c>
      <c r="C7" s="8"/>
      <c r="D7" s="8"/>
      <c r="E7" s="8"/>
      <c r="F7" s="8"/>
      <c r="G7" s="8"/>
      <c r="H7" s="8"/>
      <c r="I7" s="8"/>
      <c r="J7" s="11"/>
      <c r="K7" s="11"/>
      <c r="L7" s="11"/>
      <c r="M7" s="11"/>
      <c r="N7" s="11"/>
    </row>
    <row r="8" spans="1:14" s="11" customFormat="1" ht="15.75" thickBot="1">
      <c r="B8" s="8"/>
      <c r="C8" s="8"/>
      <c r="D8" s="8"/>
      <c r="E8" s="8"/>
      <c r="F8" s="8"/>
      <c r="G8" s="8"/>
      <c r="H8" s="8"/>
      <c r="I8" s="8"/>
    </row>
    <row r="9" spans="1:14" s="11" customFormat="1" ht="20.25" thickBot="1">
      <c r="B9" s="1" t="s">
        <v>308</v>
      </c>
    </row>
    <row r="10" spans="1:14" s="11" customFormat="1" ht="19.5">
      <c r="B10" s="30"/>
      <c r="C10" s="31"/>
      <c r="D10" s="31"/>
      <c r="E10" s="31"/>
      <c r="F10" s="31"/>
      <c r="G10" s="31"/>
      <c r="H10" s="31"/>
      <c r="I10" s="31"/>
      <c r="J10" s="31"/>
      <c r="K10" s="31"/>
      <c r="L10" s="31"/>
      <c r="M10" s="31"/>
      <c r="N10" s="31"/>
    </row>
    <row r="11" spans="1:14" s="11" customFormat="1">
      <c r="B11" s="32" t="s">
        <v>309</v>
      </c>
      <c r="C11" s="31"/>
      <c r="D11" s="31"/>
      <c r="E11" s="31"/>
      <c r="F11" s="31"/>
      <c r="G11" s="31"/>
      <c r="H11" s="31"/>
      <c r="I11" s="31"/>
      <c r="J11" s="31"/>
      <c r="K11" s="31"/>
      <c r="L11" s="31"/>
      <c r="M11" s="31"/>
      <c r="N11" s="31"/>
    </row>
    <row r="12" spans="1:14" s="24" customFormat="1" ht="17.25" customHeight="1">
      <c r="B12" s="144" t="s">
        <v>404</v>
      </c>
      <c r="C12" s="144"/>
      <c r="D12" s="144"/>
      <c r="E12" s="144"/>
      <c r="F12" s="144"/>
      <c r="G12" s="144"/>
      <c r="H12" s="144"/>
      <c r="I12" s="144"/>
      <c r="J12" s="144"/>
      <c r="K12" s="144"/>
      <c r="L12" s="33"/>
      <c r="M12" s="33"/>
      <c r="N12" s="34"/>
    </row>
    <row r="13" spans="1:14" s="11" customFormat="1"/>
    <row r="14" spans="1:14" s="11" customFormat="1">
      <c r="B14" s="139" t="s">
        <v>312</v>
      </c>
      <c r="C14" s="139"/>
      <c r="D14" s="139"/>
      <c r="E14" s="139"/>
      <c r="F14" s="139"/>
      <c r="G14" s="35"/>
      <c r="H14" s="35"/>
      <c r="I14" s="35"/>
      <c r="J14" s="35"/>
      <c r="K14" s="35"/>
      <c r="L14" s="35"/>
      <c r="M14" s="35"/>
      <c r="N14" s="35"/>
    </row>
    <row r="15" spans="1:14" s="11" customFormat="1">
      <c r="B15" s="36" t="s">
        <v>174</v>
      </c>
      <c r="C15" s="35"/>
      <c r="D15" s="35"/>
      <c r="E15" s="35"/>
      <c r="F15" s="35"/>
      <c r="G15" s="35"/>
      <c r="H15" s="35"/>
      <c r="I15" s="35"/>
      <c r="J15" s="35"/>
      <c r="K15" s="35"/>
      <c r="L15" s="35"/>
      <c r="M15" s="35"/>
      <c r="N15" s="35"/>
    </row>
    <row r="16" spans="1:14" s="11" customFormat="1">
      <c r="B16" s="37" t="s">
        <v>313</v>
      </c>
      <c r="C16" s="38"/>
      <c r="D16" s="38"/>
      <c r="E16" s="38"/>
      <c r="F16" s="39"/>
      <c r="G16" s="38"/>
      <c r="H16" s="38"/>
      <c r="I16" s="38"/>
      <c r="J16" s="38"/>
      <c r="K16" s="38"/>
      <c r="L16" s="38"/>
      <c r="M16" s="38"/>
      <c r="N16" s="38"/>
    </row>
    <row r="17" spans="2:14" s="11" customFormat="1">
      <c r="B17" s="40"/>
      <c r="C17" s="35"/>
      <c r="D17" s="35"/>
      <c r="E17" s="35"/>
      <c r="F17" s="35"/>
      <c r="G17" s="35"/>
      <c r="H17" s="35"/>
      <c r="I17" s="35"/>
      <c r="J17" s="35"/>
      <c r="K17" s="35"/>
      <c r="L17" s="35"/>
      <c r="M17" s="35"/>
      <c r="N17" s="35"/>
    </row>
    <row r="18" spans="2:14" s="11" customFormat="1">
      <c r="B18" s="36" t="s">
        <v>314</v>
      </c>
      <c r="C18" s="35"/>
      <c r="D18" s="35"/>
      <c r="E18" s="35"/>
      <c r="F18" s="35"/>
      <c r="G18" s="35"/>
      <c r="H18" s="35"/>
      <c r="I18" s="35"/>
      <c r="J18" s="35"/>
      <c r="K18" s="35"/>
      <c r="L18" s="35"/>
      <c r="M18" s="35"/>
      <c r="N18" s="35"/>
    </row>
    <row r="19" spans="2:14" s="11" customFormat="1" ht="24.75" customHeight="1">
      <c r="B19" s="140" t="s">
        <v>315</v>
      </c>
      <c r="C19" s="140"/>
      <c r="D19" s="140"/>
      <c r="E19" s="140"/>
      <c r="F19" s="140"/>
      <c r="G19" s="140"/>
      <c r="H19" s="140"/>
      <c r="I19" s="140"/>
      <c r="J19" s="140"/>
      <c r="K19" s="140"/>
      <c r="L19" s="140"/>
      <c r="M19" s="140"/>
      <c r="N19" s="140"/>
    </row>
    <row r="20" spans="2:14" s="11" customFormat="1">
      <c r="B20" s="40"/>
      <c r="C20" s="35"/>
      <c r="D20" s="35"/>
      <c r="E20" s="35"/>
      <c r="F20" s="35"/>
      <c r="G20" s="35"/>
      <c r="H20" s="35"/>
      <c r="I20" s="35"/>
      <c r="J20" s="35"/>
      <c r="K20" s="35"/>
      <c r="L20" s="35"/>
      <c r="M20" s="35"/>
      <c r="N20" s="35"/>
    </row>
    <row r="21" spans="2:14" s="11" customFormat="1">
      <c r="B21" s="40" t="s">
        <v>316</v>
      </c>
      <c r="C21" s="35"/>
      <c r="D21" s="35"/>
      <c r="E21" s="35"/>
      <c r="F21" s="35"/>
      <c r="G21" s="35"/>
      <c r="H21" s="35"/>
      <c r="I21" s="35"/>
      <c r="J21" s="35"/>
      <c r="K21" s="35"/>
      <c r="L21" s="35"/>
      <c r="M21" s="35"/>
      <c r="N21" s="35"/>
    </row>
    <row r="22" spans="2:14" s="11" customFormat="1">
      <c r="B22" s="141" t="s">
        <v>317</v>
      </c>
      <c r="C22" s="141"/>
      <c r="D22" s="141"/>
      <c r="E22" s="141"/>
      <c r="F22" s="141"/>
      <c r="G22" s="141"/>
      <c r="H22" s="141"/>
      <c r="I22" s="141"/>
      <c r="J22" s="141"/>
      <c r="K22" s="141"/>
      <c r="L22" s="141"/>
      <c r="M22" s="141"/>
      <c r="N22" s="141"/>
    </row>
    <row r="23" spans="2:14" s="11" customFormat="1">
      <c r="B23" s="41" t="s">
        <v>318</v>
      </c>
      <c r="C23" s="42"/>
      <c r="D23" s="42"/>
      <c r="E23" s="42"/>
      <c r="F23" s="42"/>
      <c r="G23" s="42"/>
      <c r="H23" s="42"/>
      <c r="I23" s="42"/>
      <c r="J23" s="42"/>
      <c r="K23" s="42"/>
      <c r="L23" s="42"/>
      <c r="M23" s="42"/>
      <c r="N23" s="42"/>
    </row>
    <row r="24" spans="2:14" s="11" customFormat="1">
      <c r="B24" s="142" t="s">
        <v>555</v>
      </c>
      <c r="C24" s="142"/>
      <c r="D24" s="142"/>
      <c r="E24" s="142"/>
      <c r="F24" s="142"/>
      <c r="G24" s="142"/>
      <c r="H24" s="142"/>
      <c r="I24" s="142"/>
      <c r="J24" s="142"/>
      <c r="K24" s="142"/>
      <c r="L24" s="142"/>
      <c r="M24" s="142"/>
      <c r="N24" s="142"/>
    </row>
    <row r="25" spans="2:14" s="11" customFormat="1">
      <c r="B25" s="142" t="s">
        <v>405</v>
      </c>
      <c r="C25" s="142"/>
      <c r="D25" s="142"/>
      <c r="E25" s="142"/>
      <c r="F25" s="142"/>
      <c r="G25" s="142"/>
      <c r="H25" s="142"/>
      <c r="I25" s="142"/>
      <c r="J25" s="142"/>
      <c r="K25" s="43"/>
      <c r="L25" s="43"/>
      <c r="M25" s="43"/>
      <c r="N25" s="43"/>
    </row>
    <row r="26" spans="2:14" s="11" customFormat="1">
      <c r="B26" s="142" t="s">
        <v>492</v>
      </c>
      <c r="C26" s="142"/>
      <c r="D26" s="142"/>
      <c r="E26" s="142"/>
      <c r="F26" s="142"/>
      <c r="G26" s="142"/>
      <c r="H26" s="142"/>
      <c r="I26" s="142"/>
      <c r="J26" s="142"/>
      <c r="K26" s="43"/>
      <c r="L26" s="43"/>
      <c r="M26" s="43"/>
      <c r="N26" s="43"/>
    </row>
    <row r="27" spans="2:14" s="11" customFormat="1">
      <c r="B27" s="42"/>
      <c r="C27" s="42"/>
      <c r="D27" s="42"/>
      <c r="E27" s="42"/>
      <c r="F27" s="42"/>
      <c r="G27" s="42"/>
      <c r="H27" s="42"/>
      <c r="I27" s="42"/>
      <c r="J27" s="42"/>
      <c r="K27" s="42"/>
      <c r="L27" s="42"/>
      <c r="M27" s="35"/>
      <c r="N27" s="35"/>
    </row>
    <row r="28" spans="2:14" s="11" customFormat="1">
      <c r="B28" s="40" t="s">
        <v>319</v>
      </c>
      <c r="C28" s="35"/>
      <c r="D28" s="35"/>
      <c r="E28" s="35"/>
      <c r="F28" s="35"/>
      <c r="G28" s="35"/>
      <c r="H28" s="35"/>
      <c r="I28" s="35"/>
      <c r="J28" s="35"/>
      <c r="K28" s="35"/>
      <c r="L28" s="35"/>
      <c r="M28" s="35"/>
      <c r="N28" s="35"/>
    </row>
    <row r="29" spans="2:14" s="11" customFormat="1">
      <c r="B29" s="44" t="s">
        <v>320</v>
      </c>
      <c r="C29" s="35"/>
      <c r="D29" s="35"/>
      <c r="E29" s="35"/>
      <c r="F29" s="35"/>
      <c r="G29" s="35"/>
      <c r="H29" s="35"/>
      <c r="I29" s="35"/>
      <c r="J29" s="35"/>
      <c r="K29" s="35"/>
      <c r="L29" s="35"/>
      <c r="M29" s="35"/>
      <c r="N29" s="35"/>
    </row>
    <row r="30" spans="2:14" s="11" customFormat="1">
      <c r="B30" s="40"/>
      <c r="C30" s="35"/>
      <c r="D30" s="35"/>
      <c r="E30" s="35"/>
      <c r="F30" s="35"/>
      <c r="G30" s="35"/>
      <c r="H30" s="35"/>
      <c r="I30" s="35"/>
      <c r="J30" s="35"/>
      <c r="K30" s="35"/>
      <c r="L30" s="35"/>
      <c r="M30" s="35"/>
      <c r="N30" s="35"/>
    </row>
    <row r="31" spans="2:14" s="11" customFormat="1">
      <c r="B31" s="45" t="s">
        <v>321</v>
      </c>
      <c r="C31" s="35"/>
      <c r="D31" s="35"/>
      <c r="E31" s="35"/>
      <c r="F31" s="35"/>
      <c r="G31" s="35"/>
      <c r="H31" s="35"/>
      <c r="I31" s="35"/>
      <c r="J31" s="35"/>
      <c r="K31" s="35"/>
      <c r="L31" s="35"/>
      <c r="M31" s="35"/>
      <c r="N31" s="35"/>
    </row>
    <row r="32" spans="2:14" s="11" customFormat="1">
      <c r="B32" s="46" t="s">
        <v>322</v>
      </c>
      <c r="C32" s="35"/>
      <c r="D32" s="35"/>
      <c r="E32" s="35"/>
      <c r="F32" s="35"/>
      <c r="G32" s="35"/>
      <c r="H32" s="35"/>
      <c r="I32" s="35"/>
      <c r="J32" s="35"/>
      <c r="K32" s="35"/>
      <c r="L32" s="35"/>
      <c r="M32" s="35"/>
      <c r="N32" s="35"/>
    </row>
    <row r="33" spans="2:14" s="11" customFormat="1">
      <c r="B33" s="143"/>
      <c r="C33" s="143"/>
      <c r="D33" s="143"/>
      <c r="E33" s="143"/>
      <c r="F33" s="143"/>
      <c r="G33" s="143"/>
      <c r="H33" s="143"/>
      <c r="I33" s="143"/>
      <c r="J33" s="143"/>
      <c r="K33" s="143"/>
      <c r="L33" s="143"/>
      <c r="M33" s="143"/>
      <c r="N33" s="143"/>
    </row>
    <row r="34" spans="2:14" s="11" customFormat="1">
      <c r="B34" s="45" t="s">
        <v>323</v>
      </c>
      <c r="C34" s="47"/>
      <c r="D34" s="47"/>
      <c r="E34" s="47"/>
      <c r="F34" s="47"/>
      <c r="G34" s="47"/>
      <c r="H34" s="47"/>
      <c r="I34" s="47"/>
      <c r="J34" s="47"/>
      <c r="K34" s="47"/>
      <c r="L34" s="47"/>
      <c r="M34" s="47"/>
      <c r="N34" s="35"/>
    </row>
    <row r="57" spans="2:13">
      <c r="B57" s="2" t="s">
        <v>165</v>
      </c>
      <c r="C57" s="2" t="s">
        <v>166</v>
      </c>
      <c r="D57" s="2" t="s">
        <v>32</v>
      </c>
      <c r="E57" s="2" t="s">
        <v>19</v>
      </c>
      <c r="F57" s="2" t="s">
        <v>167</v>
      </c>
      <c r="G57" s="2" t="s">
        <v>499</v>
      </c>
      <c r="H57" s="2" t="s">
        <v>17</v>
      </c>
      <c r="I57" s="2" t="s">
        <v>22</v>
      </c>
      <c r="J57" s="2" t="s">
        <v>168</v>
      </c>
      <c r="K57" s="2" t="s">
        <v>183</v>
      </c>
      <c r="L57" s="2" t="s">
        <v>169</v>
      </c>
      <c r="M57" s="2" t="s">
        <v>102</v>
      </c>
    </row>
    <row r="58" spans="2:13">
      <c r="B58" s="3" t="s">
        <v>170</v>
      </c>
      <c r="C58" s="48">
        <f>C59+C60</f>
        <v>0</v>
      </c>
      <c r="D58" s="49">
        <f t="shared" ref="D58:L58" si="0">D59+D60</f>
        <v>662.5</v>
      </c>
      <c r="E58" s="48">
        <f t="shared" si="0"/>
        <v>1198.0400000000002</v>
      </c>
      <c r="F58" s="49">
        <f t="shared" si="0"/>
        <v>1280</v>
      </c>
      <c r="G58" s="48">
        <f t="shared" si="0"/>
        <v>121.6178</v>
      </c>
      <c r="H58" s="49">
        <f t="shared" si="0"/>
        <v>1809.4499999999998</v>
      </c>
      <c r="I58" s="48">
        <f t="shared" si="0"/>
        <v>3.85</v>
      </c>
      <c r="J58" s="49">
        <f t="shared" si="0"/>
        <v>20.472999999999999</v>
      </c>
      <c r="K58" s="48">
        <f t="shared" si="0"/>
        <v>100</v>
      </c>
      <c r="L58" s="49">
        <f t="shared" si="0"/>
        <v>144.69800000000001</v>
      </c>
      <c r="M58" s="48">
        <f t="shared" ref="M58:M63" si="1">SUM(C58:L58)</f>
        <v>5340.6288000000004</v>
      </c>
    </row>
    <row r="59" spans="2:13">
      <c r="B59" s="3" t="s">
        <v>70</v>
      </c>
      <c r="C59" s="48">
        <f>SUMIFS(existingstable[Nameplate Capacity (MW)],existingstable[summary_status],'South Australia Summary'!$B59,existingstable[summary_bucket],'South Australia Summary'!C$57) + SUMIFS(existingnstable[Nameplate Capacity (MW)],existingnstable[summary_status],'South Australia Summary'!$B59,existingnstable[summary_bucket],'South Australia Summary'!C$57)</f>
        <v>0</v>
      </c>
      <c r="D59" s="49">
        <f>SUMIFS(existingstable[Nameplate Capacity (MW)],existingstable[summary_status],'South Australia Summary'!$B59,existingstable[summary_bucket],'South Australia Summary'!D$57) + SUMIFS(existingnstable[Nameplate Capacity (MW)],existingnstable[summary_status],'South Australia Summary'!$B59,existingnstable[summary_bucket],'South Australia Summary'!D$57)</f>
        <v>0</v>
      </c>
      <c r="E59" s="48">
        <f>SUMIFS(existingstable[Nameplate Capacity (MW)],existingstable[summary_status],'South Australia Summary'!$B59,existingstable[summary_bucket],'South Australia Summary'!E$57) + SUMIFS(existingnstable[Nameplate Capacity (MW)],existingnstable[summary_status],'South Australia Summary'!$B59,existingnstable[summary_bucket],'South Australia Summary'!E$57)</f>
        <v>0</v>
      </c>
      <c r="F59" s="49">
        <f>SUMIFS(existingstable[Nameplate Capacity (MW)],existingstable[summary_status],'South Australia Summary'!$B59,existingstable[summary_bucket],'South Australia Summary'!F$57) + SUMIFS(existingnstable[Nameplate Capacity (MW)],existingnstable[summary_status],'South Australia Summary'!$B59,existingnstable[summary_bucket],'South Australia Summary'!F$57)</f>
        <v>480</v>
      </c>
      <c r="G59" s="48">
        <f>SUMIFS(existingstable[Nameplate Capacity (MW)],existingstable[summary_status],'South Australia Summary'!$B59,existingstable[summary_bucket],'South Australia Summary'!G$57) + SUMIFS(existingnstable[Nameplate Capacity (MW)],existingnstable[summary_status],'South Australia Summary'!$B59,existingnstable[summary_bucket],'South Australia Summary'!G$57)</f>
        <v>0</v>
      </c>
      <c r="H59" s="49">
        <f>SUMIFS(existingstable[Nameplate Capacity (MW)],existingstable[summary_status],'South Australia Summary'!$B59,existingstable[summary_bucket],'South Australia Summary'!H$57) + SUMIFS(existingnstable[Nameplate Capacity (MW)],existingnstable[summary_status],'South Australia Summary'!$B59,existingnstable[summary_bucket],'South Australia Summary'!H$57)</f>
        <v>0</v>
      </c>
      <c r="I59" s="48">
        <f>SUMIFS(existingstable[Nameplate Capacity (MW)],existingstable[summary_status],'South Australia Summary'!$B59,existingstable[summary_bucket],'South Australia Summary'!I$57) + SUMIFS(existingnstable[Nameplate Capacity (MW)],existingnstable[summary_status],'South Australia Summary'!$B59,existingnstable[summary_bucket],'South Australia Summary'!I$57)</f>
        <v>0</v>
      </c>
      <c r="J59" s="49">
        <f>SUMIFS(existingstable[Nameplate Capacity (MW)],existingstable[summary_status],'South Australia Summary'!$B59,existingstable[summary_bucket],'South Australia Summary'!J$57) + SUMIFS(existingnstable[Nameplate Capacity (MW)],existingnstable[summary_status],'South Australia Summary'!$B59,existingnstable[summary_bucket],'South Australia Summary'!J$57)</f>
        <v>0</v>
      </c>
      <c r="K59" s="48">
        <f>SUMIFS(existingstable[Nameplate Capacity (MW)],existingstable[summary_status],'South Australia Summary'!$B59,existingstable[summary_bucket],'South Australia Summary'!K$57) + SUMIFS(existingnstable[Nameplate Capacity (MW)],existingnstable[summary_status],'South Australia Summary'!$B59,existingnstable[summary_bucket],'South Australia Summary'!K$57)</f>
        <v>0</v>
      </c>
      <c r="L59" s="49">
        <f>SUMIFS(existingstable[Nameplate Capacity (MW)],existingstable[summary_status],'South Australia Summary'!$B59,existingstable[summary_bucket],'South Australia Summary'!L$57) + SUMIFS(existingnstable[Nameplate Capacity (MW)],existingnstable[summary_status],'South Australia Summary'!$B59,existingnstable[summary_bucket],'South Australia Summary'!L$57)</f>
        <v>0</v>
      </c>
      <c r="M59" s="48">
        <f t="shared" si="1"/>
        <v>480</v>
      </c>
    </row>
    <row r="60" spans="2:13">
      <c r="B60" s="3" t="s">
        <v>171</v>
      </c>
      <c r="C60" s="48">
        <f>SUMIFS(existingstable[Nameplate Capacity (MW)],existingstable[summary_status],'South Australia Summary'!$B60,existingstable[summary_bucket],'South Australia Summary'!C$57) + SUMIFS(existingnstable[Nameplate Capacity (MW)],existingnstable[summary_status],'South Australia Summary'!$B60,existingnstable[summary_bucket],'South Australia Summary'!C$57)</f>
        <v>0</v>
      </c>
      <c r="D60" s="49">
        <f>SUMIFS(existingstable[Nameplate Capacity (MW)],existingstable[summary_status],'South Australia Summary'!$B60,existingstable[summary_bucket],'South Australia Summary'!D$57) + SUMIFS(existingnstable[Nameplate Capacity (MW)],existingnstable[summary_status],'South Australia Summary'!$B60,existingnstable[summary_bucket],'South Australia Summary'!D$57)</f>
        <v>662.5</v>
      </c>
      <c r="E60" s="48">
        <f>SUMIFS(existingstable[Nameplate Capacity (MW)],existingstable[summary_status],'South Australia Summary'!$B60,existingstable[summary_bucket],'South Australia Summary'!E$57) + SUMIFS(existingnstable[Nameplate Capacity (MW)],existingnstable[summary_status],'South Australia Summary'!$B60,existingnstable[summary_bucket],'South Australia Summary'!E$57)</f>
        <v>1198.0400000000002</v>
      </c>
      <c r="F60" s="49">
        <f>SUMIFS(existingstable[Nameplate Capacity (MW)],existingstable[summary_status],'South Australia Summary'!$B60,existingstable[summary_bucket],'South Australia Summary'!F$57) + SUMIFS(existingnstable[Nameplate Capacity (MW)],existingnstable[summary_status],'South Australia Summary'!$B60,existingnstable[summary_bucket],'South Australia Summary'!F$57)</f>
        <v>800</v>
      </c>
      <c r="G60" s="48">
        <f>SUMIFS(existingstable[Nameplate Capacity (MW)],existingstable[summary_status],'South Australia Summary'!$B60,existingstable[summary_bucket],'South Australia Summary'!G$57) + SUMIFS(existingnstable[Nameplate Capacity (MW)],existingnstable[summary_status],'South Australia Summary'!$B60,existingnstable[summary_bucket],'South Australia Summary'!G$57)</f>
        <v>121.6178</v>
      </c>
      <c r="H60" s="49">
        <f>SUMIFS(existingstable[Nameplate Capacity (MW)],existingstable[summary_status],'South Australia Summary'!$B60,existingstable[summary_bucket],'South Australia Summary'!H$57) + SUMIFS(existingnstable[Nameplate Capacity (MW)],existingnstable[summary_status],'South Australia Summary'!$B60,existingnstable[summary_bucket],'South Australia Summary'!H$57)</f>
        <v>1809.4499999999998</v>
      </c>
      <c r="I60" s="48">
        <f>SUMIFS(existingstable[Nameplate Capacity (MW)],existingstable[summary_status],'South Australia Summary'!$B60,existingstable[summary_bucket],'South Australia Summary'!I$57) + SUMIFS(existingnstable[Nameplate Capacity (MW)],existingnstable[summary_status],'South Australia Summary'!$B60,existingnstable[summary_bucket],'South Australia Summary'!I$57)</f>
        <v>3.85</v>
      </c>
      <c r="J60" s="49">
        <f>SUMIFS(existingstable[Nameplate Capacity (MW)],existingstable[summary_status],'South Australia Summary'!$B60,existingstable[summary_bucket],'South Australia Summary'!J$57) + SUMIFS(existingnstable[Nameplate Capacity (MW)],existingnstable[summary_status],'South Australia Summary'!$B60,existingnstable[summary_bucket],'South Australia Summary'!J$57)</f>
        <v>20.472999999999999</v>
      </c>
      <c r="K60" s="48">
        <f>SUMIFS(existingstable[Nameplate Capacity (MW)],existingstable[summary_status],'South Australia Summary'!$B60,existingstable[summary_bucket],'South Australia Summary'!K$57) + SUMIFS(existingnstable[Nameplate Capacity (MW)],existingnstable[summary_status],'South Australia Summary'!$B60,existingnstable[summary_bucket],'South Australia Summary'!K$57)</f>
        <v>100</v>
      </c>
      <c r="L60" s="49">
        <f>SUMIFS(existingstable[Nameplate Capacity (MW)],existingstable[summary_status],'South Australia Summary'!$B60,existingstable[summary_bucket],'South Australia Summary'!L$57) + SUMIFS(existingnstable[Nameplate Capacity (MW)],existingnstable[summary_status],'South Australia Summary'!$B60,existingnstable[summary_bucket],'South Australia Summary'!L$57)</f>
        <v>144.69800000000001</v>
      </c>
      <c r="M60" s="48">
        <f t="shared" si="1"/>
        <v>4860.6288000000004</v>
      </c>
    </row>
    <row r="61" spans="2:13">
      <c r="B61" s="3" t="s">
        <v>172</v>
      </c>
      <c r="C61" s="48">
        <f>SUMIFS(newdevtable[nameplatecapacity_mw_max],newdevtable[summary_status],'South Australia Summary'!$B61,newdevtable[summary_bucket],'South Australia Summary'!C$57)</f>
        <v>0</v>
      </c>
      <c r="D61" s="49">
        <f>SUMIFS(newdevtable[nameplatecapacity_mw_max],newdevtable[summary_status],'South Australia Summary'!$B61,newdevtable[summary_bucket],'South Australia Summary'!D$57)</f>
        <v>0</v>
      </c>
      <c r="E61" s="48">
        <f>SUMIFS(newdevtable[nameplatecapacity_mw_max],newdevtable[summary_status],'South Australia Summary'!$B61,newdevtable[summary_bucket],'South Australia Summary'!E$57)</f>
        <v>0</v>
      </c>
      <c r="F61" s="49">
        <f>SUMIFS(newdevtable[nameplatecapacity_mw_max],newdevtable[summary_status],'South Australia Summary'!$B61,newdevtable[summary_bucket],'South Australia Summary'!F$57)</f>
        <v>210</v>
      </c>
      <c r="G61" s="48">
        <f>SUMIFS(newdevtable[nameplatecapacity_mw_max],newdevtable[summary_status],'South Australia Summary'!$B61,newdevtable[summary_bucket],'South Australia Summary'!G$57)</f>
        <v>218</v>
      </c>
      <c r="H61" s="49">
        <f>SUMIFS(newdevtable[nameplatecapacity_mw_max],newdevtable[summary_status],'South Australia Summary'!$B61,newdevtable[summary_bucket],'South Australia Summary'!H$57)</f>
        <v>251</v>
      </c>
      <c r="I61" s="48">
        <f>SUMIFS(newdevtable[nameplatecapacity_mw_max],newdevtable[summary_status],'South Australia Summary'!$B61,newdevtable[summary_bucket],'South Australia Summary'!I$57)</f>
        <v>0</v>
      </c>
      <c r="J61" s="49">
        <f>SUMIFS(newdevtable[nameplatecapacity_mw_max],newdevtable[summary_status],'South Australia Summary'!$B61,newdevtable[summary_bucket],'South Australia Summary'!J$57)</f>
        <v>0</v>
      </c>
      <c r="K61" s="48">
        <f>SUMIFS(newdevtable[nameplatecapacity_mw_max],newdevtable[summary_status],'South Australia Summary'!$B61,newdevtable[summary_bucket],'South Australia Summary'!K$57)</f>
        <v>30</v>
      </c>
      <c r="L61" s="49">
        <f>SUMIFS(newdevtable[nameplatecapacity_mw_max],newdevtable[summary_status],'South Australia Summary'!$B61,newdevtable[summary_bucket],'South Australia Summary'!L$57)</f>
        <v>0</v>
      </c>
      <c r="M61" s="48">
        <f t="shared" si="1"/>
        <v>709</v>
      </c>
    </row>
    <row r="62" spans="2:13">
      <c r="B62" s="3" t="s">
        <v>173</v>
      </c>
      <c r="C62" s="48">
        <f>SUMIFS(newdevtable[nameplatecapacity_mw_max],newdevtable[summary_status],'South Australia Summary'!$B62,newdevtable[summary_bucket],'South Australia Summary'!C$57)</f>
        <v>0</v>
      </c>
      <c r="D62" s="49">
        <f>SUMIFS(newdevtable[nameplatecapacity_mw_max],newdevtable[summary_status],'South Australia Summary'!$B62,newdevtable[summary_bucket],'South Australia Summary'!D$57)</f>
        <v>45</v>
      </c>
      <c r="E62" s="48">
        <f>SUMIFS(newdevtable[nameplatecapacity_mw_max],newdevtable[summary_status],'South Australia Summary'!$B62,newdevtable[summary_bucket],'South Australia Summary'!E$57)</f>
        <v>624</v>
      </c>
      <c r="F62" s="49">
        <f>SUMIFS(newdevtable[nameplatecapacity_mw_max],newdevtable[summary_status],'South Australia Summary'!$B62,newdevtable[summary_bucket],'South Australia Summary'!F$57)</f>
        <v>0</v>
      </c>
      <c r="G62" s="48">
        <f>SUMIFS(newdevtable[nameplatecapacity_mw_max],newdevtable[summary_status],'South Australia Summary'!$B62,newdevtable[summary_bucket],'South Australia Summary'!G$57)</f>
        <v>2387.5</v>
      </c>
      <c r="H62" s="49">
        <f>SUMIFS(newdevtable[nameplatecapacity_mw_max],newdevtable[summary_status],'South Australia Summary'!$B62,newdevtable[summary_bucket],'South Australia Summary'!H$57)</f>
        <v>3329.8</v>
      </c>
      <c r="I62" s="48">
        <f>SUMIFS(newdevtable[nameplatecapacity_mw_max],newdevtable[summary_status],'South Australia Summary'!$B62,newdevtable[summary_bucket],'South Australia Summary'!I$57)</f>
        <v>755</v>
      </c>
      <c r="J62" s="49">
        <f>SUMIFS(newdevtable[nameplatecapacity_mw_max],newdevtable[summary_status],'South Australia Summary'!$B62,newdevtable[summary_bucket],'South Australia Summary'!J$57)</f>
        <v>15</v>
      </c>
      <c r="K62" s="48">
        <f>SUMIFS(newdevtable[nameplatecapacity_mw_max],newdevtable[summary_status],'South Australia Summary'!$B62,newdevtable[summary_bucket],'South Australia Summary'!K$57)</f>
        <v>488</v>
      </c>
      <c r="L62" s="49">
        <f>SUMIFS(newdevtable[nameplatecapacity_mw_max],newdevtable[summary_status],'South Australia Summary'!$B62,newdevtable[summary_bucket],'South Australia Summary'!L$57)</f>
        <v>30</v>
      </c>
      <c r="M62" s="48">
        <f>SUM(C62:L62)</f>
        <v>7674.3</v>
      </c>
    </row>
    <row r="63" spans="2:13">
      <c r="B63" s="3" t="s">
        <v>174</v>
      </c>
      <c r="C63" s="48">
        <f>SUMIFS(existingstable[Nameplate Capacity (MW)],existingstable[summary_status],'South Australia Summary'!$B63,existingstable[summary_bucket],'South Australia Summary'!C$57) + SUMIFS(existingnstable[Nameplate Capacity (MW)],existingnstable[summary_status],'South Australia Summary'!$B63,existingnstable[summary_bucket],'South Australia Summary'!C$57)</f>
        <v>0</v>
      </c>
      <c r="D63" s="49">
        <f>SUMIFS(existingstable[Nameplate Capacity (MW)],existingstable[summary_status],'South Australia Summary'!$B63,existingstable[summary_bucket],'South Australia Summary'!D$57) + SUMIFS(existingnstable[Nameplate Capacity (MW)],existingnstable[summary_status],'South Australia Summary'!$B63,existingnstable[summary_bucket],'South Australia Summary'!D$57)</f>
        <v>0</v>
      </c>
      <c r="E63" s="48">
        <f>SUMIFS(existingstable[Nameplate Capacity (MW)],existingstable[summary_status],'South Australia Summary'!$B63,existingstable[summary_bucket],'South Australia Summary'!E$57) + SUMIFS(existingnstable[Nameplate Capacity (MW)],existingnstable[summary_status],'South Australia Summary'!$B63,existingnstable[summary_bucket],'South Australia Summary'!E$57)</f>
        <v>0</v>
      </c>
      <c r="F63" s="49">
        <f>SUMIFS(existingstable[Nameplate Capacity (MW)],existingstable[summary_status],'South Australia Summary'!$B63,existingstable[summary_bucket],'South Australia Summary'!F$57) + SUMIFS(existingnstable[Nameplate Capacity (MW)],existingnstable[summary_status],'South Australia Summary'!$B63,existingnstable[summary_bucket],'South Australia Summary'!F$57)</f>
        <v>0</v>
      </c>
      <c r="G63" s="48">
        <f>SUMIFS(existingstable[Nameplate Capacity (MW)],existingstable[summary_status],'South Australia Summary'!$B63,existingstable[summary_bucket],'South Australia Summary'!G$57) + SUMIFS(existingnstable[Nameplate Capacity (MW)],existingnstable[summary_status],'South Australia Summary'!$B63,existingnstable[summary_bucket],'South Australia Summary'!G$57)</f>
        <v>0</v>
      </c>
      <c r="H63" s="49">
        <f>SUMIFS(existingstable[Nameplate Capacity (MW)],existingstable[summary_status],'South Australia Summary'!$B63,existingstable[summary_bucket],'South Australia Summary'!H$57) + SUMIFS(existingnstable[Nameplate Capacity (MW)],existingnstable[summary_status],'South Australia Summary'!$B63,existingnstable[summary_bucket],'South Australia Summary'!H$57)</f>
        <v>0</v>
      </c>
      <c r="I63" s="48">
        <f>SUMIFS(existingstable[Nameplate Capacity (MW)],existingstable[summary_status],'South Australia Summary'!$B63,existingstable[summary_bucket],'South Australia Summary'!I$57) + SUMIFS(existingnstable[Nameplate Capacity (MW)],existingnstable[summary_status],'South Australia Summary'!$B63,existingnstable[summary_bucket],'South Australia Summary'!I$57)</f>
        <v>0</v>
      </c>
      <c r="J63" s="49">
        <f>SUMIFS(existingstable[Nameplate Capacity (MW)],existingstable[summary_status],'South Australia Summary'!$B63,existingstable[summary_bucket],'South Australia Summary'!J$57) + SUMIFS(existingnstable[Nameplate Capacity (MW)],existingnstable[summary_status],'South Australia Summary'!$B63,existingnstable[summary_bucket],'South Australia Summary'!J$57)</f>
        <v>0</v>
      </c>
      <c r="K63" s="48">
        <f>SUMIFS(existingstable[Nameplate Capacity (MW)],existingstable[summary_status],'South Australia Summary'!$B63,existingstable[summary_bucket],'South Australia Summary'!K$57) + SUMIFS(existingnstable[Nameplate Capacity (MW)],existingnstable[summary_status],'South Australia Summary'!$B63,existingnstable[summary_bucket],'South Australia Summary'!K$57)</f>
        <v>0</v>
      </c>
      <c r="L63" s="49">
        <f>SUMIFS(existingstable[Nameplate Capacity (MW)],existingstable[summary_status],'South Australia Summary'!$B63,existingstable[summary_bucket],'South Australia Summary'!L$57) + SUMIFS(existingnstable[Nameplate Capacity (MW)],existingnstable[summary_status],'South Australia Summary'!$B63,existingnstable[summary_bucket],'South Australia Summary'!L$57)</f>
        <v>0</v>
      </c>
      <c r="M63" s="48">
        <f t="shared" si="1"/>
        <v>0</v>
      </c>
    </row>
    <row r="64" spans="2:13">
      <c r="B64" s="134" t="s">
        <v>175</v>
      </c>
      <c r="C64" s="135"/>
      <c r="D64" s="135"/>
      <c r="E64" s="135"/>
      <c r="F64" s="135"/>
      <c r="G64" s="135"/>
      <c r="H64" s="135"/>
      <c r="I64" s="135"/>
      <c r="J64" s="135"/>
      <c r="K64" s="135"/>
      <c r="L64" s="135"/>
    </row>
    <row r="65" spans="2:12">
      <c r="B65" s="134" t="s">
        <v>498</v>
      </c>
      <c r="C65" s="135"/>
      <c r="D65" s="135"/>
      <c r="E65" s="135"/>
      <c r="F65" s="135"/>
      <c r="G65" s="135"/>
      <c r="H65" s="135"/>
      <c r="I65" s="135"/>
      <c r="J65" s="135"/>
      <c r="K65" s="135"/>
      <c r="L65" s="135"/>
    </row>
  </sheetData>
  <mergeCells count="11">
    <mergeCell ref="B65:L65"/>
    <mergeCell ref="B64:L64"/>
    <mergeCell ref="B5:I5"/>
    <mergeCell ref="B14:F14"/>
    <mergeCell ref="B19:N19"/>
    <mergeCell ref="B22:N22"/>
    <mergeCell ref="B24:N24"/>
    <mergeCell ref="B25:J25"/>
    <mergeCell ref="B26:J26"/>
    <mergeCell ref="B33:N33"/>
    <mergeCell ref="B12:K12"/>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P99"/>
  <sheetViews>
    <sheetView showGridLines="0" workbookViewId="0"/>
  </sheetViews>
  <sheetFormatPr defaultColWidth="9.140625" defaultRowHeight="15"/>
  <cols>
    <col min="1" max="1" width="4.7109375" style="11" customWidth="1"/>
    <col min="2" max="9" width="9.140625" style="11"/>
    <col min="10" max="10" width="9.140625" style="11" customWidth="1"/>
    <col min="11" max="16384" width="9.140625" style="11"/>
  </cols>
  <sheetData>
    <row r="1" spans="2:14" ht="20.25" thickBot="1">
      <c r="B1" s="1" t="s">
        <v>325</v>
      </c>
    </row>
    <row r="2" spans="2:14">
      <c r="B2" s="37" t="s">
        <v>326</v>
      </c>
      <c r="C2" s="31"/>
      <c r="D2" s="31"/>
      <c r="E2" s="37"/>
      <c r="F2" s="37"/>
      <c r="G2" s="37"/>
      <c r="H2" s="37"/>
      <c r="I2" s="37"/>
      <c r="J2" s="37"/>
      <c r="K2" s="37"/>
      <c r="L2" s="37"/>
      <c r="M2" s="37"/>
      <c r="N2" s="37"/>
    </row>
    <row r="3" spans="2:14">
      <c r="B3" s="31"/>
      <c r="C3" s="31"/>
      <c r="D3" s="31"/>
      <c r="E3" s="37"/>
      <c r="F3" s="37"/>
      <c r="G3" s="37"/>
      <c r="H3" s="37"/>
      <c r="I3" s="37"/>
      <c r="J3" s="37"/>
      <c r="K3" s="37"/>
      <c r="L3" s="37"/>
      <c r="M3" s="37"/>
      <c r="N3" s="37"/>
    </row>
    <row r="4" spans="2:14">
      <c r="B4" s="32" t="s">
        <v>327</v>
      </c>
      <c r="C4" s="31"/>
      <c r="D4" s="50">
        <v>41263</v>
      </c>
      <c r="E4" s="37"/>
      <c r="F4" s="37"/>
      <c r="G4" s="37"/>
      <c r="H4" s="37"/>
      <c r="I4" s="37"/>
      <c r="J4" s="37"/>
      <c r="K4" s="37"/>
      <c r="L4" s="37"/>
      <c r="M4" s="37"/>
      <c r="N4" s="37"/>
    </row>
    <row r="5" spans="2:14">
      <c r="B5" s="37" t="s">
        <v>328</v>
      </c>
      <c r="C5" s="37"/>
      <c r="D5" s="37"/>
      <c r="E5" s="37"/>
      <c r="F5" s="37"/>
      <c r="G5" s="37"/>
      <c r="H5" s="37"/>
      <c r="I5" s="37"/>
      <c r="J5" s="37"/>
      <c r="K5" s="37"/>
      <c r="L5" s="37"/>
      <c r="M5" s="37"/>
      <c r="N5" s="37"/>
    </row>
    <row r="6" spans="2:14">
      <c r="B6" s="37" t="s">
        <v>329</v>
      </c>
      <c r="C6" s="37"/>
      <c r="D6" s="37"/>
      <c r="E6" s="37"/>
      <c r="F6" s="37"/>
      <c r="G6" s="37"/>
      <c r="H6" s="37"/>
      <c r="I6" s="37"/>
      <c r="J6" s="37"/>
      <c r="K6" s="37"/>
      <c r="L6" s="37"/>
      <c r="M6" s="37"/>
      <c r="N6" s="51"/>
    </row>
    <row r="7" spans="2:14">
      <c r="B7" s="37"/>
      <c r="C7" s="37"/>
      <c r="D7" s="37"/>
      <c r="E7" s="37"/>
      <c r="F7" s="37"/>
      <c r="G7" s="37"/>
      <c r="H7" s="37"/>
      <c r="I7" s="37"/>
      <c r="J7" s="37"/>
      <c r="K7" s="37"/>
      <c r="L7" s="37"/>
      <c r="M7" s="37"/>
      <c r="N7" s="37"/>
    </row>
    <row r="8" spans="2:14">
      <c r="B8" s="32" t="s">
        <v>327</v>
      </c>
      <c r="C8" s="37"/>
      <c r="D8" s="50">
        <v>41455</v>
      </c>
      <c r="E8" s="37"/>
      <c r="F8" s="37"/>
      <c r="G8" s="37"/>
      <c r="H8" s="37"/>
      <c r="I8" s="37"/>
      <c r="J8" s="37"/>
      <c r="K8" s="37"/>
      <c r="L8" s="37"/>
      <c r="M8" s="37"/>
      <c r="N8" s="37"/>
    </row>
    <row r="9" spans="2:14">
      <c r="B9" s="52" t="s">
        <v>330</v>
      </c>
      <c r="C9" s="37"/>
      <c r="D9" s="37"/>
      <c r="E9" s="37"/>
      <c r="F9" s="37"/>
      <c r="G9" s="37"/>
      <c r="H9" s="37"/>
      <c r="I9" s="37"/>
      <c r="J9" s="37"/>
      <c r="K9" s="37"/>
      <c r="L9" s="37"/>
      <c r="M9" s="37"/>
      <c r="N9" s="37"/>
    </row>
    <row r="10" spans="2:14">
      <c r="B10" s="37" t="s">
        <v>331</v>
      </c>
      <c r="C10" s="37"/>
      <c r="D10" s="37"/>
      <c r="E10" s="37"/>
      <c r="F10" s="37"/>
      <c r="G10" s="37"/>
      <c r="H10" s="37"/>
      <c r="I10" s="37"/>
      <c r="J10" s="37"/>
      <c r="K10" s="37"/>
      <c r="L10" s="37"/>
      <c r="M10" s="37"/>
      <c r="N10" s="37"/>
    </row>
    <row r="11" spans="2:14">
      <c r="B11" s="37" t="s">
        <v>332</v>
      </c>
      <c r="C11" s="37"/>
      <c r="D11" s="37"/>
      <c r="E11" s="37"/>
      <c r="F11" s="37"/>
      <c r="G11" s="37"/>
      <c r="H11" s="37"/>
      <c r="I11" s="37"/>
      <c r="J11" s="37"/>
      <c r="K11" s="37"/>
      <c r="L11" s="37"/>
      <c r="M11" s="37"/>
      <c r="N11" s="37"/>
    </row>
    <row r="12" spans="2:14">
      <c r="B12" s="52" t="s">
        <v>333</v>
      </c>
      <c r="C12" s="37"/>
      <c r="D12" s="37"/>
      <c r="E12" s="37"/>
      <c r="F12" s="37"/>
      <c r="G12" s="37"/>
      <c r="H12" s="37"/>
      <c r="I12" s="37"/>
      <c r="J12" s="37"/>
      <c r="K12" s="37"/>
      <c r="L12" s="37"/>
      <c r="M12" s="37"/>
      <c r="N12" s="37"/>
    </row>
    <row r="13" spans="2:14">
      <c r="B13" s="37" t="s">
        <v>334</v>
      </c>
      <c r="C13" s="37"/>
      <c r="D13" s="37"/>
      <c r="E13" s="37"/>
      <c r="F13" s="37"/>
      <c r="G13" s="37"/>
      <c r="H13" s="37"/>
      <c r="I13" s="37"/>
      <c r="J13" s="37"/>
      <c r="K13" s="37"/>
      <c r="L13" s="37"/>
      <c r="M13" s="37"/>
      <c r="N13" s="37"/>
    </row>
    <row r="14" spans="2:14">
      <c r="B14" s="52" t="s">
        <v>335</v>
      </c>
      <c r="C14" s="37"/>
      <c r="D14" s="37"/>
      <c r="E14" s="37"/>
      <c r="F14" s="37"/>
      <c r="G14" s="37"/>
      <c r="H14" s="37"/>
      <c r="I14" s="37"/>
      <c r="J14" s="37"/>
      <c r="K14" s="37"/>
      <c r="L14" s="37"/>
      <c r="M14" s="37"/>
      <c r="N14" s="37"/>
    </row>
    <row r="15" spans="2:14">
      <c r="B15" s="37" t="s">
        <v>334</v>
      </c>
      <c r="C15" s="37"/>
      <c r="D15" s="37"/>
      <c r="E15" s="37"/>
      <c r="F15" s="37"/>
      <c r="G15" s="37"/>
      <c r="H15" s="37"/>
      <c r="I15" s="37"/>
      <c r="J15" s="37"/>
      <c r="K15" s="37"/>
      <c r="L15" s="37"/>
      <c r="M15" s="37"/>
      <c r="N15" s="37"/>
    </row>
    <row r="16" spans="2:14">
      <c r="B16" s="38"/>
      <c r="C16" s="37"/>
      <c r="D16" s="37"/>
      <c r="E16" s="37"/>
      <c r="F16" s="37"/>
      <c r="G16" s="37"/>
      <c r="H16" s="37"/>
      <c r="I16" s="37"/>
      <c r="J16" s="37"/>
      <c r="K16" s="37"/>
      <c r="L16" s="37"/>
      <c r="M16" s="37"/>
      <c r="N16" s="37"/>
    </row>
    <row r="17" spans="2:14">
      <c r="B17" s="32" t="s">
        <v>327</v>
      </c>
      <c r="C17" s="31"/>
      <c r="D17" s="50">
        <v>41593</v>
      </c>
      <c r="E17" s="37"/>
      <c r="F17" s="37"/>
      <c r="G17" s="37"/>
      <c r="H17" s="37"/>
      <c r="I17" s="37"/>
      <c r="J17" s="37"/>
      <c r="K17" s="37"/>
      <c r="L17" s="37"/>
      <c r="M17" s="37"/>
      <c r="N17" s="37"/>
    </row>
    <row r="18" spans="2:14" ht="27.75" customHeight="1">
      <c r="B18" s="145" t="s">
        <v>336</v>
      </c>
      <c r="C18" s="145"/>
      <c r="D18" s="145"/>
      <c r="E18" s="145"/>
      <c r="F18" s="145"/>
      <c r="G18" s="145"/>
      <c r="H18" s="145"/>
      <c r="I18" s="145"/>
      <c r="J18" s="145"/>
      <c r="K18" s="145"/>
      <c r="L18" s="145"/>
      <c r="M18" s="145"/>
      <c r="N18" s="37"/>
    </row>
    <row r="19" spans="2:14" ht="27.75" customHeight="1">
      <c r="B19" s="146" t="s">
        <v>337</v>
      </c>
      <c r="C19" s="146"/>
      <c r="D19" s="146"/>
      <c r="E19" s="146"/>
      <c r="F19" s="146"/>
      <c r="G19" s="146"/>
      <c r="H19" s="146"/>
      <c r="I19" s="146"/>
      <c r="J19" s="146"/>
      <c r="K19" s="146"/>
      <c r="L19" s="146"/>
      <c r="M19" s="146"/>
      <c r="N19" s="37"/>
    </row>
    <row r="20" spans="2:14">
      <c r="B20" s="37"/>
      <c r="C20" s="37"/>
      <c r="D20" s="37"/>
      <c r="E20" s="37"/>
      <c r="F20" s="37"/>
      <c r="G20" s="37"/>
      <c r="H20" s="37"/>
      <c r="I20" s="37"/>
      <c r="J20" s="37"/>
      <c r="K20" s="37"/>
      <c r="L20" s="37"/>
      <c r="M20" s="37"/>
      <c r="N20" s="37"/>
    </row>
    <row r="21" spans="2:14">
      <c r="B21" s="32" t="s">
        <v>327</v>
      </c>
      <c r="C21" s="31"/>
      <c r="D21" s="50">
        <v>41698</v>
      </c>
      <c r="E21" s="37"/>
      <c r="F21" s="37"/>
      <c r="G21" s="37"/>
      <c r="H21" s="37"/>
      <c r="I21" s="37"/>
      <c r="J21" s="37"/>
      <c r="K21" s="37"/>
      <c r="L21" s="37"/>
      <c r="M21" s="37"/>
      <c r="N21" s="37"/>
    </row>
    <row r="22" spans="2:14" ht="27.75" customHeight="1">
      <c r="B22" s="146" t="s">
        <v>338</v>
      </c>
      <c r="C22" s="146"/>
      <c r="D22" s="146"/>
      <c r="E22" s="146"/>
      <c r="F22" s="146"/>
      <c r="G22" s="146"/>
      <c r="H22" s="146"/>
      <c r="I22" s="146"/>
      <c r="J22" s="146"/>
      <c r="K22" s="146"/>
      <c r="L22" s="146"/>
      <c r="M22" s="146"/>
      <c r="N22" s="37"/>
    </row>
    <row r="23" spans="2:14">
      <c r="B23" s="37"/>
      <c r="C23" s="37"/>
      <c r="D23" s="37"/>
      <c r="E23" s="37"/>
      <c r="F23" s="37"/>
      <c r="G23" s="37"/>
      <c r="H23" s="37"/>
      <c r="I23" s="37"/>
      <c r="J23" s="37"/>
      <c r="K23" s="37"/>
      <c r="L23" s="37"/>
      <c r="M23" s="37"/>
      <c r="N23" s="37"/>
    </row>
    <row r="24" spans="2:14">
      <c r="B24" s="32" t="s">
        <v>327</v>
      </c>
      <c r="C24" s="31"/>
      <c r="D24" s="50">
        <v>41789</v>
      </c>
      <c r="E24" s="37"/>
      <c r="F24" s="37"/>
      <c r="G24" s="37"/>
      <c r="H24" s="37"/>
      <c r="I24" s="37"/>
      <c r="J24" s="37"/>
      <c r="K24" s="37"/>
      <c r="L24" s="37"/>
      <c r="M24" s="37"/>
      <c r="N24" s="37"/>
    </row>
    <row r="25" spans="2:14" ht="27.75" customHeight="1">
      <c r="B25" s="146" t="s">
        <v>339</v>
      </c>
      <c r="C25" s="146"/>
      <c r="D25" s="146"/>
      <c r="E25" s="146"/>
      <c r="F25" s="146"/>
      <c r="G25" s="146"/>
      <c r="H25" s="146"/>
      <c r="I25" s="146"/>
      <c r="J25" s="146"/>
      <c r="K25" s="146"/>
      <c r="L25" s="146"/>
      <c r="M25" s="146"/>
      <c r="N25" s="37"/>
    </row>
    <row r="26" spans="2:14">
      <c r="B26" s="37"/>
      <c r="C26" s="37"/>
      <c r="D26" s="37"/>
      <c r="E26" s="37"/>
      <c r="F26" s="37"/>
      <c r="G26" s="37"/>
      <c r="H26" s="37"/>
      <c r="I26" s="37"/>
      <c r="J26" s="37"/>
      <c r="K26" s="37"/>
      <c r="L26" s="37"/>
      <c r="M26" s="37"/>
      <c r="N26" s="37"/>
    </row>
    <row r="27" spans="2:14">
      <c r="B27" s="32" t="s">
        <v>327</v>
      </c>
      <c r="C27" s="37"/>
      <c r="D27" s="50">
        <v>41858</v>
      </c>
      <c r="E27" s="37"/>
      <c r="F27" s="37"/>
      <c r="G27" s="37"/>
      <c r="H27" s="37"/>
      <c r="I27" s="37"/>
      <c r="J27" s="37"/>
      <c r="K27" s="37"/>
      <c r="L27" s="37"/>
      <c r="M27" s="37"/>
      <c r="N27" s="37"/>
    </row>
    <row r="28" spans="2:14" ht="27.75" customHeight="1">
      <c r="B28" s="37" t="s">
        <v>340</v>
      </c>
      <c r="C28" s="37"/>
      <c r="D28" s="37"/>
      <c r="E28" s="37"/>
      <c r="F28" s="37"/>
      <c r="G28" s="37"/>
      <c r="H28" s="37"/>
      <c r="I28" s="37"/>
      <c r="J28" s="37"/>
      <c r="K28" s="37"/>
      <c r="L28" s="37"/>
      <c r="M28" s="37"/>
      <c r="N28" s="37"/>
    </row>
    <row r="29" spans="2:14" ht="27.75" customHeight="1">
      <c r="B29" s="37" t="s">
        <v>341</v>
      </c>
      <c r="C29" s="37"/>
      <c r="D29" s="37"/>
      <c r="E29" s="37"/>
      <c r="F29" s="37"/>
      <c r="G29" s="37"/>
      <c r="H29" s="37"/>
      <c r="I29" s="37"/>
      <c r="J29" s="37"/>
      <c r="K29" s="37"/>
      <c r="L29" s="37"/>
      <c r="M29" s="37"/>
      <c r="N29" s="37"/>
    </row>
    <row r="30" spans="2:14">
      <c r="B30" s="37"/>
      <c r="C30" s="37"/>
      <c r="D30" s="37"/>
      <c r="E30" s="37"/>
      <c r="F30" s="37"/>
      <c r="G30" s="37"/>
      <c r="H30" s="37"/>
      <c r="I30" s="37"/>
      <c r="J30" s="37"/>
      <c r="K30" s="37"/>
      <c r="L30" s="37"/>
      <c r="M30" s="37"/>
      <c r="N30" s="37"/>
    </row>
    <row r="31" spans="2:14">
      <c r="B31" s="32" t="s">
        <v>327</v>
      </c>
      <c r="C31" s="37"/>
      <c r="D31" s="50">
        <v>41983</v>
      </c>
      <c r="E31" s="37"/>
      <c r="F31" s="37"/>
      <c r="G31" s="37"/>
      <c r="H31" s="37"/>
      <c r="I31" s="37"/>
      <c r="J31" s="37"/>
      <c r="K31" s="37"/>
      <c r="L31" s="37"/>
      <c r="M31" s="37"/>
      <c r="N31" s="37"/>
    </row>
    <row r="32" spans="2:14" ht="27.75" customHeight="1">
      <c r="B32" s="145" t="s">
        <v>342</v>
      </c>
      <c r="C32" s="145"/>
      <c r="D32" s="145"/>
      <c r="E32" s="145"/>
      <c r="F32" s="145"/>
      <c r="G32" s="145"/>
      <c r="H32" s="145"/>
      <c r="I32" s="145"/>
      <c r="J32" s="145"/>
      <c r="K32" s="145"/>
      <c r="L32" s="145"/>
      <c r="M32" s="145"/>
      <c r="N32" s="37"/>
    </row>
    <row r="33" spans="2:16" ht="27.75" customHeight="1">
      <c r="B33" s="147" t="s">
        <v>343</v>
      </c>
      <c r="C33" s="145"/>
      <c r="D33" s="145"/>
      <c r="E33" s="145"/>
      <c r="F33" s="145"/>
      <c r="G33" s="145"/>
      <c r="H33" s="145"/>
      <c r="I33" s="145"/>
      <c r="J33" s="145"/>
      <c r="K33" s="145"/>
      <c r="L33" s="145"/>
      <c r="M33" s="145"/>
      <c r="N33" s="37"/>
    </row>
    <row r="34" spans="2:16">
      <c r="B34" s="37"/>
      <c r="C34" s="37"/>
      <c r="D34" s="37"/>
      <c r="E34" s="37"/>
      <c r="F34" s="37"/>
      <c r="G34" s="37"/>
      <c r="H34" s="37"/>
      <c r="I34" s="37"/>
      <c r="J34" s="37"/>
      <c r="K34" s="37"/>
      <c r="L34" s="37"/>
      <c r="M34" s="37"/>
      <c r="N34" s="37"/>
    </row>
    <row r="35" spans="2:16">
      <c r="B35" s="32" t="s">
        <v>327</v>
      </c>
      <c r="C35" s="37"/>
      <c r="D35" s="50">
        <v>42109</v>
      </c>
      <c r="E35" s="37"/>
      <c r="F35" s="37"/>
      <c r="G35" s="37"/>
      <c r="H35" s="37"/>
      <c r="I35" s="37"/>
      <c r="J35" s="37"/>
      <c r="K35" s="37"/>
      <c r="L35" s="37"/>
      <c r="M35" s="37"/>
      <c r="N35" s="37"/>
    </row>
    <row r="36" spans="2:16" ht="27.75" customHeight="1">
      <c r="B36" s="145" t="s">
        <v>344</v>
      </c>
      <c r="C36" s="145"/>
      <c r="D36" s="145"/>
      <c r="E36" s="145"/>
      <c r="F36" s="145"/>
      <c r="G36" s="145"/>
      <c r="H36" s="145"/>
      <c r="I36" s="145"/>
      <c r="J36" s="145"/>
      <c r="K36" s="145"/>
      <c r="L36" s="145"/>
      <c r="M36" s="145"/>
      <c r="N36" s="37"/>
    </row>
    <row r="37" spans="2:16" ht="27.75" customHeight="1">
      <c r="B37" s="145" t="s">
        <v>345</v>
      </c>
      <c r="C37" s="145"/>
      <c r="D37" s="145"/>
      <c r="E37" s="145"/>
      <c r="F37" s="145"/>
      <c r="G37" s="145"/>
      <c r="H37" s="145"/>
      <c r="I37" s="145"/>
      <c r="J37" s="145"/>
      <c r="K37" s="145"/>
      <c r="L37" s="145"/>
      <c r="M37" s="145"/>
      <c r="N37" s="37"/>
    </row>
    <row r="38" spans="2:16" ht="27.75" customHeight="1">
      <c r="B38" s="146" t="s">
        <v>346</v>
      </c>
      <c r="C38" s="146"/>
      <c r="D38" s="146"/>
      <c r="E38" s="146"/>
      <c r="F38" s="146"/>
      <c r="G38" s="146"/>
      <c r="H38" s="146"/>
      <c r="I38" s="146"/>
      <c r="J38" s="146"/>
      <c r="K38" s="146"/>
      <c r="L38" s="146"/>
      <c r="M38" s="146"/>
      <c r="N38" s="146"/>
      <c r="O38" s="146"/>
      <c r="P38" s="146"/>
    </row>
    <row r="39" spans="2:16">
      <c r="B39" s="37"/>
      <c r="C39" s="37"/>
      <c r="D39" s="37"/>
      <c r="E39" s="37"/>
      <c r="F39" s="37"/>
      <c r="G39" s="37"/>
      <c r="H39" s="37"/>
      <c r="I39" s="37"/>
      <c r="J39" s="37"/>
      <c r="K39" s="37"/>
      <c r="L39" s="37"/>
      <c r="M39" s="37"/>
      <c r="N39" s="37"/>
    </row>
    <row r="40" spans="2:16">
      <c r="B40" s="32" t="s">
        <v>327</v>
      </c>
      <c r="C40" s="37"/>
      <c r="D40" s="50">
        <v>42229</v>
      </c>
      <c r="E40" s="37"/>
      <c r="F40" s="37"/>
      <c r="G40" s="37"/>
      <c r="H40" s="37"/>
      <c r="I40" s="37"/>
      <c r="J40" s="37"/>
      <c r="K40" s="37"/>
      <c r="L40" s="37"/>
      <c r="M40" s="37"/>
      <c r="N40" s="37"/>
    </row>
    <row r="41" spans="2:16" ht="27.75" customHeight="1">
      <c r="B41" s="145" t="s">
        <v>347</v>
      </c>
      <c r="C41" s="145"/>
      <c r="D41" s="145"/>
      <c r="E41" s="145"/>
      <c r="F41" s="145"/>
      <c r="G41" s="145"/>
      <c r="H41" s="145"/>
      <c r="I41" s="145"/>
      <c r="J41" s="145"/>
      <c r="K41" s="145"/>
      <c r="L41" s="145"/>
      <c r="M41" s="145"/>
      <c r="N41" s="37"/>
    </row>
    <row r="42" spans="2:16" ht="27.75" customHeight="1">
      <c r="B42" s="147" t="s">
        <v>348</v>
      </c>
      <c r="C42" s="147"/>
      <c r="D42" s="147"/>
      <c r="E42" s="147"/>
      <c r="F42" s="147"/>
      <c r="G42" s="147"/>
      <c r="H42" s="147"/>
      <c r="I42" s="147"/>
      <c r="J42" s="147"/>
      <c r="K42" s="147"/>
      <c r="L42" s="147"/>
      <c r="M42" s="147"/>
      <c r="N42" s="37"/>
    </row>
    <row r="43" spans="2:16">
      <c r="B43" s="37"/>
      <c r="C43" s="37"/>
      <c r="D43" s="37"/>
      <c r="E43" s="37"/>
      <c r="F43" s="37"/>
      <c r="G43" s="37"/>
      <c r="H43" s="37"/>
      <c r="I43" s="37"/>
      <c r="J43" s="37"/>
      <c r="K43" s="37"/>
      <c r="L43" s="37"/>
      <c r="M43" s="37"/>
      <c r="N43" s="37"/>
    </row>
    <row r="44" spans="2:16">
      <c r="B44" s="32" t="s">
        <v>327</v>
      </c>
      <c r="C44" s="37"/>
      <c r="D44" s="50">
        <v>42300</v>
      </c>
      <c r="E44" s="37"/>
      <c r="F44" s="37"/>
      <c r="G44" s="37"/>
      <c r="H44" s="37"/>
      <c r="I44" s="37"/>
      <c r="J44" s="37"/>
      <c r="K44" s="37"/>
      <c r="L44" s="37"/>
      <c r="M44" s="37"/>
      <c r="N44" s="37"/>
    </row>
    <row r="45" spans="2:16" ht="27.75" customHeight="1">
      <c r="B45" s="145" t="s">
        <v>349</v>
      </c>
      <c r="C45" s="145"/>
      <c r="D45" s="145"/>
      <c r="E45" s="145"/>
      <c r="F45" s="145"/>
      <c r="G45" s="145"/>
      <c r="H45" s="145"/>
      <c r="I45" s="145"/>
      <c r="J45" s="145"/>
      <c r="K45" s="145"/>
      <c r="L45" s="145"/>
      <c r="M45" s="145"/>
      <c r="N45" s="37"/>
    </row>
    <row r="46" spans="2:16" ht="27.75" customHeight="1">
      <c r="B46" s="145" t="s">
        <v>350</v>
      </c>
      <c r="C46" s="145"/>
      <c r="D46" s="145"/>
      <c r="E46" s="145"/>
      <c r="F46" s="145"/>
      <c r="G46" s="145"/>
      <c r="H46" s="145"/>
      <c r="I46" s="145"/>
      <c r="J46" s="145"/>
      <c r="K46" s="145"/>
      <c r="L46" s="145"/>
      <c r="M46" s="145"/>
      <c r="N46" s="37"/>
    </row>
    <row r="47" spans="2:16" ht="27.75" customHeight="1">
      <c r="B47" s="147" t="s">
        <v>351</v>
      </c>
      <c r="C47" s="145"/>
      <c r="D47" s="145"/>
      <c r="E47" s="145"/>
      <c r="F47" s="145"/>
      <c r="G47" s="145"/>
      <c r="H47" s="145"/>
      <c r="I47" s="145"/>
      <c r="J47" s="145"/>
      <c r="K47" s="145"/>
      <c r="L47" s="145"/>
      <c r="M47" s="145"/>
      <c r="N47" s="37"/>
    </row>
    <row r="48" spans="2:16" ht="27.75" customHeight="1">
      <c r="B48" s="146" t="s">
        <v>352</v>
      </c>
      <c r="C48" s="146"/>
      <c r="D48" s="146"/>
      <c r="E48" s="146"/>
      <c r="F48" s="146"/>
      <c r="G48" s="146"/>
      <c r="H48" s="146"/>
      <c r="I48" s="146"/>
      <c r="J48" s="146"/>
      <c r="K48" s="146"/>
      <c r="L48" s="146"/>
      <c r="M48" s="146"/>
      <c r="N48" s="37"/>
    </row>
    <row r="49" spans="2:14" ht="27.75" customHeight="1">
      <c r="B49" s="147" t="s">
        <v>353</v>
      </c>
      <c r="C49" s="145"/>
      <c r="D49" s="145"/>
      <c r="E49" s="145"/>
      <c r="F49" s="145"/>
      <c r="G49" s="145"/>
      <c r="H49" s="145"/>
      <c r="I49" s="145"/>
      <c r="J49" s="145"/>
      <c r="K49" s="145"/>
      <c r="L49" s="145"/>
      <c r="M49" s="145"/>
      <c r="N49" s="37"/>
    </row>
    <row r="50" spans="2:14" ht="27.75" customHeight="1">
      <c r="B50" s="52" t="s">
        <v>354</v>
      </c>
      <c r="C50" s="37"/>
      <c r="D50" s="37"/>
      <c r="E50" s="37"/>
      <c r="F50" s="37"/>
      <c r="G50" s="37"/>
      <c r="H50" s="37"/>
      <c r="I50" s="37"/>
      <c r="J50" s="37"/>
      <c r="K50" s="37"/>
      <c r="L50" s="37"/>
      <c r="M50" s="37"/>
      <c r="N50" s="37"/>
    </row>
    <row r="51" spans="2:14">
      <c r="B51" s="37"/>
      <c r="C51" s="37"/>
      <c r="D51" s="37"/>
      <c r="E51" s="37"/>
      <c r="F51" s="37"/>
      <c r="G51" s="37"/>
      <c r="H51" s="37"/>
      <c r="I51" s="37"/>
      <c r="J51" s="37"/>
      <c r="K51" s="37"/>
      <c r="L51" s="37"/>
      <c r="M51" s="37"/>
      <c r="N51" s="37"/>
    </row>
    <row r="52" spans="2:14">
      <c r="B52" s="32" t="s">
        <v>327</v>
      </c>
      <c r="C52" s="37"/>
      <c r="D52" s="50">
        <v>42432</v>
      </c>
      <c r="E52" s="37"/>
      <c r="F52" s="37"/>
      <c r="G52" s="37"/>
      <c r="H52" s="37"/>
      <c r="I52" s="37"/>
      <c r="J52" s="37"/>
      <c r="K52" s="37"/>
      <c r="L52" s="37"/>
      <c r="M52" s="37"/>
      <c r="N52" s="37"/>
    </row>
    <row r="53" spans="2:14" ht="27.75" customHeight="1">
      <c r="B53" s="146" t="s">
        <v>355</v>
      </c>
      <c r="C53" s="146"/>
      <c r="D53" s="146"/>
      <c r="E53" s="146"/>
      <c r="F53" s="146"/>
      <c r="G53" s="146"/>
      <c r="H53" s="146"/>
      <c r="I53" s="146"/>
      <c r="J53" s="146"/>
      <c r="K53" s="146"/>
      <c r="L53" s="146"/>
      <c r="M53" s="146"/>
      <c r="N53" s="37"/>
    </row>
    <row r="54" spans="2:14" ht="27.75" customHeight="1">
      <c r="B54" s="147" t="s">
        <v>356</v>
      </c>
      <c r="C54" s="147"/>
      <c r="D54" s="147"/>
      <c r="E54" s="147"/>
      <c r="F54" s="147"/>
      <c r="G54" s="147"/>
      <c r="H54" s="147"/>
      <c r="I54" s="147"/>
      <c r="J54" s="147"/>
      <c r="K54" s="147"/>
      <c r="L54" s="147"/>
      <c r="M54" s="147"/>
      <c r="N54" s="37"/>
    </row>
    <row r="55" spans="2:14" ht="39" customHeight="1">
      <c r="B55" s="146" t="s">
        <v>595</v>
      </c>
      <c r="C55" s="146"/>
      <c r="D55" s="146"/>
      <c r="E55" s="146"/>
      <c r="F55" s="146"/>
      <c r="G55" s="146"/>
      <c r="H55" s="146"/>
      <c r="I55" s="146"/>
      <c r="J55" s="146"/>
      <c r="K55" s="146"/>
      <c r="L55" s="146"/>
      <c r="M55" s="146"/>
      <c r="N55" s="146"/>
    </row>
    <row r="56" spans="2:14">
      <c r="B56" s="37"/>
      <c r="C56" s="37"/>
      <c r="D56" s="37"/>
      <c r="E56" s="37"/>
      <c r="F56" s="37"/>
      <c r="G56" s="37"/>
      <c r="H56" s="37"/>
      <c r="I56" s="37"/>
      <c r="J56" s="37"/>
      <c r="K56" s="37"/>
      <c r="L56" s="37"/>
      <c r="M56" s="37"/>
      <c r="N56" s="37"/>
    </row>
    <row r="57" spans="2:14">
      <c r="B57" s="32" t="s">
        <v>327</v>
      </c>
      <c r="C57" s="37"/>
      <c r="D57" s="50">
        <v>42475</v>
      </c>
      <c r="E57" s="37"/>
      <c r="F57" s="37"/>
      <c r="G57" s="37"/>
      <c r="H57" s="37"/>
      <c r="I57" s="37"/>
      <c r="J57" s="37"/>
      <c r="K57" s="37"/>
      <c r="L57" s="37"/>
      <c r="M57" s="37"/>
      <c r="N57" s="37"/>
    </row>
    <row r="58" spans="2:14" ht="27.75" customHeight="1">
      <c r="B58" s="146" t="s">
        <v>355</v>
      </c>
      <c r="C58" s="146"/>
      <c r="D58" s="146"/>
      <c r="E58" s="146"/>
      <c r="F58" s="146"/>
      <c r="G58" s="146"/>
      <c r="H58" s="146"/>
      <c r="I58" s="146"/>
      <c r="J58" s="146"/>
      <c r="K58" s="146"/>
      <c r="L58" s="146"/>
      <c r="M58" s="146"/>
      <c r="N58" s="37"/>
    </row>
    <row r="59" spans="2:14" ht="27.75" customHeight="1">
      <c r="B59" s="147" t="s">
        <v>356</v>
      </c>
      <c r="C59" s="147"/>
      <c r="D59" s="147"/>
      <c r="E59" s="147"/>
      <c r="F59" s="147"/>
      <c r="G59" s="147"/>
      <c r="H59" s="147"/>
      <c r="I59" s="147"/>
      <c r="J59" s="147"/>
      <c r="K59" s="147"/>
      <c r="L59" s="147"/>
      <c r="M59" s="147"/>
      <c r="N59" s="37"/>
    </row>
    <row r="60" spans="2:14" ht="27.75" customHeight="1">
      <c r="B60" s="145" t="s">
        <v>357</v>
      </c>
      <c r="C60" s="145"/>
      <c r="D60" s="145"/>
      <c r="E60" s="145"/>
      <c r="F60" s="145"/>
      <c r="G60" s="145"/>
      <c r="H60" s="145"/>
      <c r="I60" s="145"/>
      <c r="J60" s="145"/>
      <c r="K60" s="145"/>
      <c r="L60" s="145"/>
      <c r="M60" s="145"/>
      <c r="N60" s="37"/>
    </row>
    <row r="61" spans="2:14" ht="39" customHeight="1">
      <c r="B61" s="146" t="s">
        <v>596</v>
      </c>
      <c r="C61" s="146"/>
      <c r="D61" s="146"/>
      <c r="E61" s="146"/>
      <c r="F61" s="146"/>
      <c r="G61" s="146"/>
      <c r="H61" s="146"/>
      <c r="I61" s="146"/>
      <c r="J61" s="146"/>
      <c r="K61" s="146"/>
      <c r="L61" s="146"/>
      <c r="M61" s="146"/>
      <c r="N61" s="146"/>
    </row>
    <row r="63" spans="2:14">
      <c r="B63" s="32" t="s">
        <v>327</v>
      </c>
      <c r="C63" s="37"/>
      <c r="D63" s="50">
        <v>42593</v>
      </c>
    </row>
    <row r="64" spans="2:14" ht="17.25" customHeight="1">
      <c r="B64" s="147" t="s">
        <v>358</v>
      </c>
      <c r="C64" s="147"/>
      <c r="D64" s="147"/>
      <c r="E64" s="147"/>
      <c r="F64" s="147"/>
      <c r="G64" s="147"/>
      <c r="H64" s="147"/>
      <c r="I64" s="147"/>
      <c r="J64" s="147"/>
      <c r="K64" s="147"/>
      <c r="L64" s="147"/>
      <c r="M64" s="147"/>
    </row>
    <row r="65" spans="2:13" ht="19.5" customHeight="1">
      <c r="B65" s="145" t="s">
        <v>359</v>
      </c>
      <c r="C65" s="145"/>
      <c r="D65" s="145"/>
      <c r="E65" s="145"/>
      <c r="F65" s="145"/>
      <c r="G65" s="145"/>
      <c r="H65" s="145"/>
      <c r="I65" s="145"/>
      <c r="J65" s="145"/>
      <c r="K65" s="145"/>
      <c r="L65" s="145"/>
      <c r="M65" s="145"/>
    </row>
    <row r="66" spans="2:13" ht="24.75" customHeight="1">
      <c r="B66" s="140" t="s">
        <v>360</v>
      </c>
      <c r="C66" s="140"/>
      <c r="D66" s="140"/>
      <c r="E66" s="140"/>
      <c r="F66" s="140"/>
      <c r="G66" s="140"/>
      <c r="H66" s="140"/>
      <c r="I66" s="140"/>
      <c r="J66" s="140"/>
      <c r="K66" s="140"/>
      <c r="L66" s="140"/>
      <c r="M66" s="140"/>
    </row>
    <row r="67" spans="2:13" ht="17.25" customHeight="1">
      <c r="B67" s="146" t="s">
        <v>361</v>
      </c>
      <c r="C67" s="146"/>
      <c r="D67" s="146"/>
      <c r="E67" s="146"/>
      <c r="F67" s="146"/>
      <c r="G67" s="146"/>
      <c r="H67" s="146"/>
      <c r="I67" s="146"/>
      <c r="J67" s="146"/>
      <c r="K67" s="146"/>
      <c r="L67" s="146"/>
      <c r="M67" s="146"/>
    </row>
    <row r="68" spans="2:13" ht="27.75" customHeight="1">
      <c r="B68" s="146" t="s">
        <v>362</v>
      </c>
      <c r="C68" s="146"/>
      <c r="D68" s="146"/>
      <c r="E68" s="146"/>
      <c r="F68" s="146"/>
      <c r="G68" s="146"/>
      <c r="H68" s="146"/>
      <c r="I68" s="146"/>
      <c r="J68" s="146"/>
      <c r="K68" s="53"/>
      <c r="L68" s="54"/>
      <c r="M68" s="54"/>
    </row>
    <row r="69" spans="2:13" ht="25.5" customHeight="1">
      <c r="B69" s="145" t="s">
        <v>363</v>
      </c>
      <c r="C69" s="145"/>
      <c r="D69" s="145"/>
      <c r="E69" s="145"/>
      <c r="F69" s="145"/>
      <c r="G69" s="145"/>
      <c r="H69" s="145"/>
      <c r="I69" s="145"/>
      <c r="J69" s="145"/>
      <c r="K69" s="145"/>
      <c r="L69" s="145"/>
      <c r="M69" s="145"/>
    </row>
    <row r="70" spans="2:13" ht="27" customHeight="1">
      <c r="B70" s="147" t="s">
        <v>364</v>
      </c>
      <c r="C70" s="147"/>
      <c r="D70" s="147"/>
      <c r="E70" s="147"/>
      <c r="F70" s="147"/>
      <c r="G70" s="147"/>
      <c r="H70" s="147"/>
      <c r="I70" s="147"/>
      <c r="J70" s="147"/>
      <c r="K70" s="147"/>
      <c r="L70" s="147"/>
      <c r="M70" s="147"/>
    </row>
    <row r="72" spans="2:13">
      <c r="B72" s="32" t="s">
        <v>327</v>
      </c>
      <c r="C72" s="37"/>
      <c r="D72" s="50">
        <v>42692</v>
      </c>
    </row>
    <row r="73" spans="2:13" ht="27.75" customHeight="1">
      <c r="B73" s="143" t="s">
        <v>365</v>
      </c>
      <c r="C73" s="143"/>
      <c r="D73" s="143"/>
      <c r="E73" s="143"/>
      <c r="F73" s="143"/>
      <c r="G73" s="143"/>
      <c r="H73" s="143"/>
      <c r="I73" s="143"/>
      <c r="J73" s="143"/>
      <c r="K73" s="143"/>
      <c r="L73" s="143"/>
      <c r="M73" s="143"/>
    </row>
    <row r="74" spans="2:13" ht="26.25" customHeight="1">
      <c r="B74" s="142" t="s">
        <v>366</v>
      </c>
      <c r="C74" s="142"/>
      <c r="D74" s="142"/>
      <c r="E74" s="142"/>
      <c r="F74" s="142"/>
      <c r="G74" s="142"/>
      <c r="H74" s="142"/>
      <c r="I74" s="142"/>
      <c r="J74" s="142"/>
      <c r="K74" s="142"/>
      <c r="L74" s="55"/>
      <c r="M74" s="55"/>
    </row>
    <row r="76" spans="2:13">
      <c r="B76" s="32" t="s">
        <v>327</v>
      </c>
      <c r="C76" s="37"/>
      <c r="D76" s="50">
        <v>42793</v>
      </c>
    </row>
    <row r="77" spans="2:13" ht="39.6" customHeight="1">
      <c r="B77" s="148" t="s">
        <v>367</v>
      </c>
      <c r="C77" s="148"/>
      <c r="D77" s="148"/>
      <c r="E77" s="148"/>
      <c r="F77" s="148"/>
      <c r="G77" s="148"/>
      <c r="H77" s="148"/>
      <c r="I77" s="148"/>
      <c r="J77" s="148"/>
      <c r="K77" s="148"/>
      <c r="L77" s="148"/>
      <c r="M77" s="148"/>
    </row>
    <row r="79" spans="2:13">
      <c r="B79" s="32" t="s">
        <v>327</v>
      </c>
      <c r="C79" s="37"/>
      <c r="D79" s="50">
        <v>42891</v>
      </c>
    </row>
    <row r="80" spans="2:13" ht="26.25" customHeight="1">
      <c r="B80" s="148" t="s">
        <v>368</v>
      </c>
      <c r="C80" s="148"/>
      <c r="D80" s="148"/>
      <c r="E80" s="148"/>
      <c r="F80" s="148"/>
      <c r="G80" s="148"/>
      <c r="H80" s="148"/>
      <c r="I80" s="148"/>
      <c r="J80" s="148"/>
      <c r="K80" s="148"/>
      <c r="L80" s="148"/>
      <c r="M80" s="148"/>
    </row>
    <row r="81" spans="2:15" ht="19.149999999999999" customHeight="1">
      <c r="B81" s="148" t="s">
        <v>369</v>
      </c>
      <c r="C81" s="148"/>
      <c r="D81" s="148"/>
      <c r="E81" s="148"/>
      <c r="F81" s="148"/>
      <c r="G81" s="148"/>
      <c r="H81" s="148"/>
      <c r="I81" s="148"/>
      <c r="J81" s="148"/>
      <c r="K81" s="148"/>
      <c r="L81" s="148"/>
      <c r="M81" s="148"/>
    </row>
    <row r="82" spans="2:15" ht="30.6" customHeight="1">
      <c r="B82" s="148" t="s">
        <v>370</v>
      </c>
      <c r="C82" s="148"/>
      <c r="D82" s="148"/>
      <c r="E82" s="148"/>
      <c r="F82" s="148"/>
      <c r="G82" s="148"/>
      <c r="H82" s="148"/>
      <c r="I82" s="148"/>
      <c r="J82" s="148"/>
      <c r="K82" s="148"/>
      <c r="L82" s="148"/>
      <c r="M82" s="148"/>
    </row>
    <row r="83" spans="2:15">
      <c r="B83" s="148"/>
      <c r="C83" s="148"/>
      <c r="D83" s="148"/>
      <c r="E83" s="148"/>
      <c r="F83" s="148"/>
      <c r="G83" s="148"/>
      <c r="H83" s="148"/>
      <c r="I83" s="148"/>
      <c r="J83" s="148"/>
      <c r="K83" s="148"/>
      <c r="L83" s="148"/>
      <c r="M83" s="148"/>
    </row>
    <row r="84" spans="2:15">
      <c r="B84" s="32" t="s">
        <v>327</v>
      </c>
      <c r="C84" s="37"/>
      <c r="D84" s="50">
        <v>43091</v>
      </c>
      <c r="E84" s="31"/>
      <c r="F84" s="31"/>
      <c r="G84" s="31"/>
      <c r="H84" s="31"/>
      <c r="I84" s="31"/>
      <c r="J84" s="31"/>
      <c r="K84" s="31"/>
      <c r="L84" s="31"/>
      <c r="M84" s="31"/>
    </row>
    <row r="85" spans="2:15" ht="19.5" customHeight="1">
      <c r="B85" s="149" t="s">
        <v>371</v>
      </c>
      <c r="C85" s="149"/>
      <c r="D85" s="149"/>
      <c r="E85" s="149"/>
      <c r="F85" s="149"/>
      <c r="G85" s="149"/>
      <c r="H85" s="149"/>
      <c r="I85" s="149"/>
      <c r="J85" s="149"/>
      <c r="K85" s="149"/>
      <c r="L85" s="149"/>
      <c r="M85" s="149"/>
      <c r="N85" s="34"/>
    </row>
    <row r="86" spans="2:15" ht="15" customHeight="1">
      <c r="B86" s="140" t="s">
        <v>372</v>
      </c>
      <c r="C86" s="140"/>
      <c r="D86" s="140"/>
      <c r="E86" s="140"/>
      <c r="F86" s="140"/>
      <c r="G86" s="140"/>
      <c r="H86" s="140"/>
      <c r="I86" s="140"/>
      <c r="J86" s="140"/>
      <c r="K86" s="140"/>
      <c r="L86" s="140"/>
      <c r="M86" s="140"/>
      <c r="N86" s="34"/>
    </row>
    <row r="87" spans="2:15" ht="15" customHeight="1">
      <c r="B87" s="145" t="s">
        <v>373</v>
      </c>
      <c r="C87" s="145"/>
      <c r="D87" s="145"/>
      <c r="E87" s="145"/>
      <c r="F87" s="145"/>
      <c r="G87" s="145"/>
      <c r="H87" s="145"/>
      <c r="I87" s="145"/>
      <c r="J87" s="145"/>
      <c r="K87" s="145"/>
      <c r="L87" s="145"/>
      <c r="M87" s="145"/>
      <c r="N87" s="145"/>
      <c r="O87" s="145"/>
    </row>
    <row r="88" spans="2:15">
      <c r="B88" s="145" t="s">
        <v>374</v>
      </c>
      <c r="C88" s="145"/>
      <c r="D88" s="145"/>
      <c r="E88" s="145"/>
      <c r="F88" s="145"/>
      <c r="G88" s="145"/>
      <c r="H88" s="145"/>
      <c r="I88" s="145"/>
      <c r="J88" s="145"/>
      <c r="K88" s="145"/>
      <c r="L88" s="145"/>
      <c r="M88" s="145"/>
      <c r="N88" s="145"/>
      <c r="O88" s="145"/>
    </row>
    <row r="89" spans="2:15">
      <c r="B89" s="145" t="s">
        <v>375</v>
      </c>
      <c r="C89" s="145"/>
      <c r="D89" s="145"/>
      <c r="E89" s="145"/>
      <c r="F89" s="145"/>
      <c r="G89" s="145"/>
      <c r="H89" s="145"/>
      <c r="I89" s="145"/>
      <c r="J89" s="145"/>
      <c r="K89" s="145"/>
      <c r="L89" s="145"/>
      <c r="M89" s="145"/>
      <c r="N89" s="145"/>
      <c r="O89" s="145"/>
    </row>
    <row r="91" spans="2:15" s="79" customFormat="1">
      <c r="B91" s="32" t="s">
        <v>327</v>
      </c>
      <c r="D91" s="50">
        <v>43175</v>
      </c>
    </row>
    <row r="92" spans="2:15" s="79" customFormat="1" ht="27" customHeight="1">
      <c r="B92" s="149" t="s">
        <v>491</v>
      </c>
      <c r="C92" s="149"/>
      <c r="D92" s="149"/>
      <c r="E92" s="149"/>
      <c r="F92" s="149"/>
      <c r="G92" s="149"/>
      <c r="H92" s="149"/>
      <c r="I92" s="149"/>
      <c r="J92" s="149"/>
      <c r="K92" s="149"/>
      <c r="L92" s="149"/>
      <c r="M92" s="149"/>
    </row>
    <row r="93" spans="2:15" s="79" customFormat="1" ht="24.75" customHeight="1">
      <c r="B93" s="149" t="s">
        <v>310</v>
      </c>
      <c r="C93" s="149"/>
      <c r="D93" s="149"/>
      <c r="E93" s="149"/>
      <c r="F93" s="149"/>
      <c r="G93" s="149"/>
      <c r="H93" s="149"/>
      <c r="I93" s="149"/>
      <c r="J93" s="149"/>
      <c r="K93" s="149"/>
      <c r="L93" s="149"/>
      <c r="M93" s="149"/>
    </row>
    <row r="94" spans="2:15" s="79" customFormat="1" ht="39" customHeight="1">
      <c r="B94" s="149" t="s">
        <v>311</v>
      </c>
      <c r="C94" s="149"/>
      <c r="D94" s="149"/>
      <c r="E94" s="149"/>
      <c r="F94" s="149"/>
      <c r="G94" s="149"/>
      <c r="H94" s="149"/>
      <c r="I94" s="149"/>
      <c r="J94" s="149"/>
      <c r="K94" s="149"/>
      <c r="L94" s="149"/>
      <c r="M94" s="149"/>
    </row>
    <row r="95" spans="2:15" s="79" customFormat="1"/>
    <row r="96" spans="2:15">
      <c r="B96" s="32" t="s">
        <v>327</v>
      </c>
      <c r="D96" s="50">
        <v>43312</v>
      </c>
    </row>
    <row r="97" spans="2:13">
      <c r="B97" s="144" t="s">
        <v>404</v>
      </c>
      <c r="C97" s="144"/>
      <c r="D97" s="144"/>
      <c r="E97" s="144"/>
      <c r="F97" s="144"/>
      <c r="G97" s="144"/>
      <c r="H97" s="144"/>
      <c r="I97" s="144"/>
      <c r="J97" s="144"/>
      <c r="K97" s="144"/>
      <c r="L97" s="56"/>
      <c r="M97" s="56"/>
    </row>
    <row r="99" spans="2:13">
      <c r="B99" s="133" t="s">
        <v>597</v>
      </c>
    </row>
  </sheetData>
  <mergeCells count="46">
    <mergeCell ref="B97:K97"/>
    <mergeCell ref="B83:M83"/>
    <mergeCell ref="B85:M85"/>
    <mergeCell ref="B86:M86"/>
    <mergeCell ref="B87:O87"/>
    <mergeCell ref="B88:O88"/>
    <mergeCell ref="B89:O89"/>
    <mergeCell ref="B93:M93"/>
    <mergeCell ref="B92:M92"/>
    <mergeCell ref="B94:M94"/>
    <mergeCell ref="B82:M82"/>
    <mergeCell ref="B65:M65"/>
    <mergeCell ref="B66:M66"/>
    <mergeCell ref="B67:M67"/>
    <mergeCell ref="B68:J68"/>
    <mergeCell ref="B69:M69"/>
    <mergeCell ref="B70:M70"/>
    <mergeCell ref="B73:M73"/>
    <mergeCell ref="B74:K74"/>
    <mergeCell ref="B77:M77"/>
    <mergeCell ref="B80:M80"/>
    <mergeCell ref="B81:M81"/>
    <mergeCell ref="B64:M64"/>
    <mergeCell ref="B46:M46"/>
    <mergeCell ref="B47:M47"/>
    <mergeCell ref="B48:M48"/>
    <mergeCell ref="B49:M49"/>
    <mergeCell ref="B53:M53"/>
    <mergeCell ref="B54:M54"/>
    <mergeCell ref="B55:N55"/>
    <mergeCell ref="B58:M58"/>
    <mergeCell ref="B59:M59"/>
    <mergeCell ref="B60:M60"/>
    <mergeCell ref="B61:N61"/>
    <mergeCell ref="B45:M45"/>
    <mergeCell ref="B18:M18"/>
    <mergeCell ref="B19:M19"/>
    <mergeCell ref="B22:M22"/>
    <mergeCell ref="B25:M25"/>
    <mergeCell ref="B32:M32"/>
    <mergeCell ref="B33:M33"/>
    <mergeCell ref="B36:M36"/>
    <mergeCell ref="B37:M37"/>
    <mergeCell ref="B38:P38"/>
    <mergeCell ref="B41:M41"/>
    <mergeCell ref="B42:M42"/>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5"/>
  <sheetViews>
    <sheetView workbookViewId="0"/>
  </sheetViews>
  <sheetFormatPr defaultColWidth="9.140625" defaultRowHeight="15"/>
  <cols>
    <col min="1" max="1" width="24" style="31" bestFit="1" customWidth="1"/>
    <col min="2" max="2" width="27.85546875" style="31" bestFit="1" customWidth="1"/>
    <col min="3" max="3" width="39.5703125" style="31" bestFit="1" customWidth="1"/>
    <col min="4" max="4" width="25.5703125" style="31" bestFit="1" customWidth="1"/>
    <col min="5" max="5" width="25.28515625" style="31" bestFit="1" customWidth="1"/>
    <col min="6" max="6" width="14.85546875" style="31" bestFit="1" customWidth="1"/>
    <col min="7" max="7" width="16.5703125" style="31" bestFit="1" customWidth="1"/>
    <col min="8" max="8" width="17.5703125" style="31" bestFit="1" customWidth="1"/>
    <col min="9" max="9" width="11" style="31" hidden="1" customWidth="1"/>
    <col min="10" max="10" width="26.85546875" style="31" hidden="1" customWidth="1"/>
    <col min="11" max="12" width="19.5703125" style="99" hidden="1" customWidth="1"/>
    <col min="13" max="13" width="19.5703125" style="31" hidden="1" customWidth="1"/>
    <col min="14" max="16384" width="9.140625" style="31"/>
  </cols>
  <sheetData>
    <row r="1" spans="1:12" ht="20.25" thickBot="1">
      <c r="A1" s="67" t="s">
        <v>0</v>
      </c>
    </row>
    <row r="2" spans="1:12" ht="15.75" thickBot="1">
      <c r="A2" s="66" t="s">
        <v>1</v>
      </c>
      <c r="B2" s="66" t="s">
        <v>2</v>
      </c>
      <c r="C2" s="66" t="s">
        <v>570</v>
      </c>
      <c r="D2" s="66" t="s">
        <v>116</v>
      </c>
      <c r="E2" s="66" t="s">
        <v>3</v>
      </c>
      <c r="F2" s="66" t="s">
        <v>4</v>
      </c>
      <c r="G2" s="66" t="s">
        <v>5</v>
      </c>
      <c r="H2" s="66" t="s">
        <v>6</v>
      </c>
      <c r="I2" s="2" t="s">
        <v>7</v>
      </c>
      <c r="J2" s="2" t="s">
        <v>176</v>
      </c>
      <c r="K2" s="2" t="s">
        <v>180</v>
      </c>
      <c r="L2" s="31"/>
    </row>
    <row r="3" spans="1:12" ht="23.25" thickBot="1">
      <c r="A3" s="16" t="s">
        <v>8</v>
      </c>
      <c r="B3" s="13" t="s">
        <v>9</v>
      </c>
      <c r="C3" s="19" t="s">
        <v>10</v>
      </c>
      <c r="D3" s="13">
        <v>50</v>
      </c>
      <c r="E3" s="19" t="s">
        <v>11</v>
      </c>
      <c r="F3" s="13" t="s">
        <v>12</v>
      </c>
      <c r="G3" s="19" t="s">
        <v>13</v>
      </c>
      <c r="H3" s="13" t="s">
        <v>14</v>
      </c>
      <c r="I3" s="19" t="s">
        <v>15</v>
      </c>
      <c r="J3" s="13" t="s">
        <v>171</v>
      </c>
      <c r="K3" s="19" t="s">
        <v>169</v>
      </c>
      <c r="L3" s="31"/>
    </row>
    <row r="4" spans="1:12" ht="15.75" thickBot="1">
      <c r="A4" s="15" t="s">
        <v>219</v>
      </c>
      <c r="B4" s="12" t="s">
        <v>220</v>
      </c>
      <c r="C4" s="19" t="s">
        <v>501</v>
      </c>
      <c r="D4" s="13">
        <v>110</v>
      </c>
      <c r="E4" s="18" t="s">
        <v>29</v>
      </c>
      <c r="F4" s="12" t="s">
        <v>28</v>
      </c>
      <c r="G4" s="18" t="s">
        <v>18</v>
      </c>
      <c r="H4" s="12" t="s">
        <v>14</v>
      </c>
      <c r="I4" s="18" t="s">
        <v>15</v>
      </c>
      <c r="J4" s="12" t="s">
        <v>171</v>
      </c>
      <c r="K4" s="18" t="s">
        <v>28</v>
      </c>
      <c r="L4" s="31"/>
    </row>
    <row r="5" spans="1:12" ht="15.75" thickBot="1">
      <c r="A5" s="15" t="s">
        <v>571</v>
      </c>
      <c r="B5" s="12" t="s">
        <v>30</v>
      </c>
      <c r="C5" s="19" t="s">
        <v>31</v>
      </c>
      <c r="D5" s="13">
        <v>56.7</v>
      </c>
      <c r="E5" s="18" t="s">
        <v>16</v>
      </c>
      <c r="F5" s="12" t="s">
        <v>17</v>
      </c>
      <c r="G5" s="18" t="s">
        <v>18</v>
      </c>
      <c r="H5" s="12" t="s">
        <v>14</v>
      </c>
      <c r="I5" s="18" t="s">
        <v>15</v>
      </c>
      <c r="J5" s="12" t="s">
        <v>171</v>
      </c>
      <c r="K5" s="18" t="s">
        <v>17</v>
      </c>
      <c r="L5" s="31"/>
    </row>
    <row r="6" spans="1:12" ht="15.75" thickBot="1">
      <c r="A6" s="15" t="s">
        <v>34</v>
      </c>
      <c r="B6" s="12" t="s">
        <v>35</v>
      </c>
      <c r="C6" s="19" t="s">
        <v>36</v>
      </c>
      <c r="D6" s="13">
        <v>156</v>
      </c>
      <c r="E6" s="18" t="s">
        <v>19</v>
      </c>
      <c r="F6" s="12" t="s">
        <v>20</v>
      </c>
      <c r="G6" s="18" t="s">
        <v>13</v>
      </c>
      <c r="H6" s="12" t="s">
        <v>14</v>
      </c>
      <c r="I6" s="18" t="s">
        <v>15</v>
      </c>
      <c r="J6" s="12" t="s">
        <v>171</v>
      </c>
      <c r="K6" s="18" t="s">
        <v>19</v>
      </c>
      <c r="L6" s="31"/>
    </row>
    <row r="7" spans="1:12" ht="15.75" thickBot="1">
      <c r="A7" s="15" t="s">
        <v>37</v>
      </c>
      <c r="B7" s="12" t="s">
        <v>38</v>
      </c>
      <c r="C7" s="19" t="s">
        <v>39</v>
      </c>
      <c r="D7" s="13">
        <v>132.30000000000001</v>
      </c>
      <c r="E7" s="18" t="s">
        <v>16</v>
      </c>
      <c r="F7" s="12" t="s">
        <v>17</v>
      </c>
      <c r="G7" s="18" t="s">
        <v>18</v>
      </c>
      <c r="H7" s="12" t="s">
        <v>14</v>
      </c>
      <c r="I7" s="18" t="s">
        <v>15</v>
      </c>
      <c r="J7" s="12" t="s">
        <v>171</v>
      </c>
      <c r="K7" s="18" t="s">
        <v>17</v>
      </c>
      <c r="L7" s="31"/>
    </row>
    <row r="8" spans="1:12" ht="15.75" thickBot="1">
      <c r="A8" s="15" t="s">
        <v>40</v>
      </c>
      <c r="B8" s="12" t="s">
        <v>41</v>
      </c>
      <c r="C8" s="19" t="s">
        <v>42</v>
      </c>
      <c r="D8" s="13">
        <v>52.5</v>
      </c>
      <c r="E8" s="18" t="s">
        <v>16</v>
      </c>
      <c r="F8" s="12" t="s">
        <v>17</v>
      </c>
      <c r="G8" s="18" t="s">
        <v>18</v>
      </c>
      <c r="H8" s="12" t="s">
        <v>14</v>
      </c>
      <c r="I8" s="18" t="s">
        <v>15</v>
      </c>
      <c r="J8" s="12" t="s">
        <v>171</v>
      </c>
      <c r="K8" s="18" t="s">
        <v>17</v>
      </c>
      <c r="L8" s="31"/>
    </row>
    <row r="9" spans="1:12" ht="79.5" thickBot="1">
      <c r="A9" s="15" t="s">
        <v>43</v>
      </c>
      <c r="B9" s="12" t="s">
        <v>44</v>
      </c>
      <c r="C9" s="19" t="s">
        <v>45</v>
      </c>
      <c r="D9" s="13">
        <v>234.34</v>
      </c>
      <c r="E9" s="18" t="s">
        <v>19</v>
      </c>
      <c r="F9" s="12" t="s">
        <v>20</v>
      </c>
      <c r="G9" s="18" t="s">
        <v>13</v>
      </c>
      <c r="H9" s="12" t="s">
        <v>14</v>
      </c>
      <c r="I9" s="18" t="s">
        <v>15</v>
      </c>
      <c r="J9" s="12" t="s">
        <v>171</v>
      </c>
      <c r="K9" s="18" t="s">
        <v>19</v>
      </c>
      <c r="L9" s="31"/>
    </row>
    <row r="10" spans="1:12" ht="15.75" thickBot="1">
      <c r="A10" s="15" t="s">
        <v>46</v>
      </c>
      <c r="B10" s="12" t="s">
        <v>47</v>
      </c>
      <c r="C10" s="19" t="s">
        <v>48</v>
      </c>
      <c r="D10" s="13">
        <v>94.5</v>
      </c>
      <c r="E10" s="18" t="s">
        <v>16</v>
      </c>
      <c r="F10" s="12" t="s">
        <v>17</v>
      </c>
      <c r="G10" s="18" t="s">
        <v>18</v>
      </c>
      <c r="H10" s="12" t="s">
        <v>14</v>
      </c>
      <c r="I10" s="18" t="s">
        <v>15</v>
      </c>
      <c r="J10" s="12" t="s">
        <v>171</v>
      </c>
      <c r="K10" s="18" t="s">
        <v>17</v>
      </c>
      <c r="L10" s="31"/>
    </row>
    <row r="11" spans="1:12" ht="15.75" thickBot="1">
      <c r="A11" s="15" t="s">
        <v>49</v>
      </c>
      <c r="B11" s="12" t="s">
        <v>50</v>
      </c>
      <c r="C11" s="19" t="s">
        <v>51</v>
      </c>
      <c r="D11" s="13">
        <v>71.400000000000006</v>
      </c>
      <c r="E11" s="18" t="s">
        <v>16</v>
      </c>
      <c r="F11" s="12" t="s">
        <v>17</v>
      </c>
      <c r="G11" s="18" t="s">
        <v>18</v>
      </c>
      <c r="H11" s="12" t="s">
        <v>14</v>
      </c>
      <c r="I11" s="18" t="s">
        <v>15</v>
      </c>
      <c r="J11" s="12" t="s">
        <v>171</v>
      </c>
      <c r="K11" s="18" t="s">
        <v>17</v>
      </c>
      <c r="L11" s="31"/>
    </row>
    <row r="12" spans="1:12" ht="34.5" thickBot="1">
      <c r="A12" s="15" t="s">
        <v>52</v>
      </c>
      <c r="B12" s="12" t="s">
        <v>53</v>
      </c>
      <c r="C12" s="19" t="s">
        <v>572</v>
      </c>
      <c r="D12" s="13">
        <v>100</v>
      </c>
      <c r="E12" s="18" t="s">
        <v>466</v>
      </c>
      <c r="F12" s="12" t="s">
        <v>183</v>
      </c>
      <c r="G12" s="18" t="s">
        <v>13</v>
      </c>
      <c r="H12" s="12" t="s">
        <v>14</v>
      </c>
      <c r="I12" s="18" t="s">
        <v>15</v>
      </c>
      <c r="J12" s="12" t="s">
        <v>171</v>
      </c>
      <c r="K12" s="18" t="s">
        <v>183</v>
      </c>
      <c r="L12" s="31"/>
    </row>
    <row r="13" spans="1:12" ht="15.75" thickBot="1">
      <c r="A13" s="15" t="s">
        <v>55</v>
      </c>
      <c r="B13" s="12" t="s">
        <v>56</v>
      </c>
      <c r="C13" s="19" t="s">
        <v>57</v>
      </c>
      <c r="D13" s="13">
        <v>102.4</v>
      </c>
      <c r="E13" s="18" t="s">
        <v>16</v>
      </c>
      <c r="F13" s="12" t="s">
        <v>17</v>
      </c>
      <c r="G13" s="18" t="s">
        <v>18</v>
      </c>
      <c r="H13" s="12" t="s">
        <v>14</v>
      </c>
      <c r="I13" s="18" t="s">
        <v>15</v>
      </c>
      <c r="J13" s="12" t="s">
        <v>171</v>
      </c>
      <c r="K13" s="18" t="s">
        <v>17</v>
      </c>
      <c r="L13" s="31"/>
    </row>
    <row r="14" spans="1:12" ht="15.75" thickBot="1">
      <c r="A14" s="15" t="s">
        <v>58</v>
      </c>
      <c r="B14" s="12" t="s">
        <v>59</v>
      </c>
      <c r="C14" s="19" t="s">
        <v>57</v>
      </c>
      <c r="D14" s="13">
        <v>102.4</v>
      </c>
      <c r="E14" s="18" t="s">
        <v>16</v>
      </c>
      <c r="F14" s="12" t="s">
        <v>17</v>
      </c>
      <c r="G14" s="18" t="s">
        <v>18</v>
      </c>
      <c r="H14" s="12" t="s">
        <v>14</v>
      </c>
      <c r="I14" s="18" t="s">
        <v>15</v>
      </c>
      <c r="J14" s="12" t="s">
        <v>171</v>
      </c>
      <c r="K14" s="18" t="s">
        <v>17</v>
      </c>
      <c r="L14" s="31"/>
    </row>
    <row r="15" spans="1:12" ht="15.75" thickBot="1">
      <c r="A15" s="15" t="s">
        <v>60</v>
      </c>
      <c r="B15" s="12" t="s">
        <v>61</v>
      </c>
      <c r="C15" s="19" t="s">
        <v>62</v>
      </c>
      <c r="D15" s="13">
        <v>112</v>
      </c>
      <c r="E15" s="18" t="s">
        <v>16</v>
      </c>
      <c r="F15" s="12" t="s">
        <v>17</v>
      </c>
      <c r="G15" s="18" t="s">
        <v>18</v>
      </c>
      <c r="H15" s="12" t="s">
        <v>14</v>
      </c>
      <c r="I15" s="18" t="s">
        <v>15</v>
      </c>
      <c r="J15" s="12" t="s">
        <v>171</v>
      </c>
      <c r="K15" s="18" t="s">
        <v>17</v>
      </c>
      <c r="L15" s="31"/>
    </row>
    <row r="16" spans="1:12" ht="15.75" thickBot="1">
      <c r="A16" s="15" t="s">
        <v>63</v>
      </c>
      <c r="B16" s="12" t="s">
        <v>33</v>
      </c>
      <c r="C16" s="19" t="s">
        <v>64</v>
      </c>
      <c r="D16" s="13">
        <v>80</v>
      </c>
      <c r="E16" s="18" t="s">
        <v>19</v>
      </c>
      <c r="F16" s="12" t="s">
        <v>20</v>
      </c>
      <c r="G16" s="18" t="s">
        <v>13</v>
      </c>
      <c r="H16" s="12" t="s">
        <v>14</v>
      </c>
      <c r="I16" s="18" t="s">
        <v>15</v>
      </c>
      <c r="J16" s="12" t="s">
        <v>171</v>
      </c>
      <c r="K16" s="18" t="s">
        <v>19</v>
      </c>
      <c r="L16" s="31"/>
    </row>
    <row r="17" spans="1:12" ht="15.75" thickBot="1">
      <c r="A17" s="15" t="s">
        <v>65</v>
      </c>
      <c r="B17" s="12" t="s">
        <v>66</v>
      </c>
      <c r="C17" s="19" t="s">
        <v>67</v>
      </c>
      <c r="D17" s="13">
        <v>159</v>
      </c>
      <c r="E17" s="18" t="s">
        <v>16</v>
      </c>
      <c r="F17" s="12" t="s">
        <v>17</v>
      </c>
      <c r="G17" s="18" t="s">
        <v>18</v>
      </c>
      <c r="H17" s="12" t="s">
        <v>14</v>
      </c>
      <c r="I17" s="18" t="s">
        <v>15</v>
      </c>
      <c r="J17" s="12" t="s">
        <v>171</v>
      </c>
      <c r="K17" s="18" t="s">
        <v>17</v>
      </c>
      <c r="L17" s="31"/>
    </row>
    <row r="18" spans="1:12" ht="15.75" thickBot="1">
      <c r="A18" s="15" t="s">
        <v>68</v>
      </c>
      <c r="B18" s="12" t="s">
        <v>66</v>
      </c>
      <c r="C18" s="19" t="s">
        <v>69</v>
      </c>
      <c r="D18" s="13">
        <v>39</v>
      </c>
      <c r="E18" s="18" t="s">
        <v>16</v>
      </c>
      <c r="F18" s="12" t="s">
        <v>17</v>
      </c>
      <c r="G18" s="18" t="s">
        <v>18</v>
      </c>
      <c r="H18" s="12" t="s">
        <v>14</v>
      </c>
      <c r="I18" s="18" t="s">
        <v>15</v>
      </c>
      <c r="J18" s="12" t="s">
        <v>171</v>
      </c>
      <c r="K18" s="18" t="s">
        <v>17</v>
      </c>
      <c r="L18" s="31"/>
    </row>
    <row r="19" spans="1:12" ht="15.75" thickBot="1">
      <c r="A19" s="15" t="s">
        <v>71</v>
      </c>
      <c r="B19" s="12" t="s">
        <v>9</v>
      </c>
      <c r="C19" s="19" t="s">
        <v>72</v>
      </c>
      <c r="D19" s="13">
        <v>20.7</v>
      </c>
      <c r="E19" s="18" t="s">
        <v>11</v>
      </c>
      <c r="F19" s="12" t="s">
        <v>12</v>
      </c>
      <c r="G19" s="18" t="s">
        <v>13</v>
      </c>
      <c r="H19" s="12" t="s">
        <v>14</v>
      </c>
      <c r="I19" s="18" t="s">
        <v>15</v>
      </c>
      <c r="J19" s="12" t="s">
        <v>171</v>
      </c>
      <c r="K19" s="18" t="s">
        <v>169</v>
      </c>
      <c r="L19" s="31"/>
    </row>
    <row r="20" spans="1:12" ht="15.75" thickBot="1">
      <c r="A20" s="15" t="s">
        <v>73</v>
      </c>
      <c r="B20" s="12" t="s">
        <v>35</v>
      </c>
      <c r="C20" s="19" t="s">
        <v>74</v>
      </c>
      <c r="D20" s="13">
        <v>90</v>
      </c>
      <c r="E20" s="18" t="s">
        <v>19</v>
      </c>
      <c r="F20" s="12" t="s">
        <v>20</v>
      </c>
      <c r="G20" s="18" t="s">
        <v>13</v>
      </c>
      <c r="H20" s="12" t="s">
        <v>14</v>
      </c>
      <c r="I20" s="18" t="s">
        <v>15</v>
      </c>
      <c r="J20" s="12" t="s">
        <v>171</v>
      </c>
      <c r="K20" s="18" t="s">
        <v>19</v>
      </c>
      <c r="L20" s="31"/>
    </row>
    <row r="21" spans="1:12" ht="23.25" thickBot="1">
      <c r="A21" s="15" t="s">
        <v>75</v>
      </c>
      <c r="B21" s="12" t="s">
        <v>76</v>
      </c>
      <c r="C21" s="19" t="s">
        <v>77</v>
      </c>
      <c r="D21" s="13">
        <v>180</v>
      </c>
      <c r="E21" s="18" t="s">
        <v>32</v>
      </c>
      <c r="F21" s="12" t="s">
        <v>20</v>
      </c>
      <c r="G21" s="18" t="s">
        <v>13</v>
      </c>
      <c r="H21" s="12" t="s">
        <v>14</v>
      </c>
      <c r="I21" s="18" t="s">
        <v>15</v>
      </c>
      <c r="J21" s="12" t="s">
        <v>171</v>
      </c>
      <c r="K21" s="18" t="s">
        <v>32</v>
      </c>
      <c r="L21" s="31"/>
    </row>
    <row r="22" spans="1:12" ht="15.75" thickBot="1">
      <c r="A22" s="15" t="s">
        <v>78</v>
      </c>
      <c r="B22" s="12" t="s">
        <v>79</v>
      </c>
      <c r="C22" s="19" t="s">
        <v>80</v>
      </c>
      <c r="D22" s="13">
        <v>478</v>
      </c>
      <c r="E22" s="18" t="s">
        <v>32</v>
      </c>
      <c r="F22" s="12" t="s">
        <v>20</v>
      </c>
      <c r="G22" s="18" t="s">
        <v>13</v>
      </c>
      <c r="H22" s="12" t="s">
        <v>14</v>
      </c>
      <c r="I22" s="18" t="s">
        <v>15</v>
      </c>
      <c r="J22" s="12" t="s">
        <v>171</v>
      </c>
      <c r="K22" s="18" t="s">
        <v>32</v>
      </c>
      <c r="L22" s="31"/>
    </row>
    <row r="23" spans="1:12" ht="23.25" thickBot="1">
      <c r="A23" s="15" t="s">
        <v>81</v>
      </c>
      <c r="B23" s="12" t="s">
        <v>35</v>
      </c>
      <c r="C23" s="19" t="s">
        <v>82</v>
      </c>
      <c r="D23" s="13">
        <v>73.5</v>
      </c>
      <c r="E23" s="18" t="s">
        <v>19</v>
      </c>
      <c r="F23" s="12" t="s">
        <v>12</v>
      </c>
      <c r="G23" s="18" t="s">
        <v>13</v>
      </c>
      <c r="H23" s="12" t="s">
        <v>14</v>
      </c>
      <c r="I23" s="18" t="s">
        <v>15</v>
      </c>
      <c r="J23" s="12" t="s">
        <v>171</v>
      </c>
      <c r="K23" s="18" t="s">
        <v>19</v>
      </c>
      <c r="L23" s="31"/>
    </row>
    <row r="24" spans="1:12" ht="15.75" thickBot="1">
      <c r="A24" s="15" t="s">
        <v>83</v>
      </c>
      <c r="B24" s="12" t="s">
        <v>9</v>
      </c>
      <c r="C24" s="19" t="s">
        <v>84</v>
      </c>
      <c r="D24" s="13">
        <v>57.6</v>
      </c>
      <c r="E24" s="18" t="s">
        <v>11</v>
      </c>
      <c r="F24" s="12" t="s">
        <v>12</v>
      </c>
      <c r="G24" s="18" t="s">
        <v>13</v>
      </c>
      <c r="H24" s="12" t="s">
        <v>14</v>
      </c>
      <c r="I24" s="18" t="s">
        <v>15</v>
      </c>
      <c r="J24" s="12" t="s">
        <v>171</v>
      </c>
      <c r="K24" s="18" t="s">
        <v>169</v>
      </c>
      <c r="L24" s="31"/>
    </row>
    <row r="25" spans="1:12" ht="23.25" thickBot="1">
      <c r="A25" s="15" t="s">
        <v>85</v>
      </c>
      <c r="B25" s="12" t="s">
        <v>33</v>
      </c>
      <c r="C25" s="19" t="s">
        <v>86</v>
      </c>
      <c r="D25" s="13">
        <v>224</v>
      </c>
      <c r="E25" s="18" t="s">
        <v>19</v>
      </c>
      <c r="F25" s="12" t="s">
        <v>20</v>
      </c>
      <c r="G25" s="18" t="s">
        <v>13</v>
      </c>
      <c r="H25" s="12" t="s">
        <v>14</v>
      </c>
      <c r="I25" s="18" t="s">
        <v>15</v>
      </c>
      <c r="J25" s="12" t="s">
        <v>171</v>
      </c>
      <c r="K25" s="18" t="s">
        <v>19</v>
      </c>
      <c r="L25" s="31"/>
    </row>
    <row r="26" spans="1:12" ht="15.75" thickBot="1">
      <c r="A26" s="15" t="s">
        <v>573</v>
      </c>
      <c r="B26" s="12" t="s">
        <v>89</v>
      </c>
      <c r="C26" s="19" t="s">
        <v>90</v>
      </c>
      <c r="D26" s="13">
        <v>270</v>
      </c>
      <c r="E26" s="18" t="s">
        <v>16</v>
      </c>
      <c r="F26" s="12" t="s">
        <v>17</v>
      </c>
      <c r="G26" s="18" t="s">
        <v>18</v>
      </c>
      <c r="H26" s="12" t="s">
        <v>14</v>
      </c>
      <c r="I26" s="18" t="s">
        <v>15</v>
      </c>
      <c r="J26" s="12" t="s">
        <v>171</v>
      </c>
      <c r="K26" s="18" t="s">
        <v>17</v>
      </c>
      <c r="L26" s="31"/>
    </row>
    <row r="27" spans="1:12" ht="15.75" thickBot="1">
      <c r="A27" s="15" t="s">
        <v>574</v>
      </c>
      <c r="B27" s="12" t="s">
        <v>87</v>
      </c>
      <c r="C27" s="19" t="s">
        <v>88</v>
      </c>
      <c r="D27" s="13">
        <v>98.7</v>
      </c>
      <c r="E27" s="18" t="s">
        <v>16</v>
      </c>
      <c r="F27" s="12" t="s">
        <v>17</v>
      </c>
      <c r="G27" s="18" t="s">
        <v>18</v>
      </c>
      <c r="H27" s="12" t="s">
        <v>14</v>
      </c>
      <c r="I27" s="18" t="s">
        <v>15</v>
      </c>
      <c r="J27" s="12" t="s">
        <v>171</v>
      </c>
      <c r="K27" s="18" t="s">
        <v>17</v>
      </c>
      <c r="L27" s="31"/>
    </row>
    <row r="28" spans="1:12" ht="15.75" thickBot="1">
      <c r="A28" s="15" t="s">
        <v>91</v>
      </c>
      <c r="B28" s="12" t="s">
        <v>35</v>
      </c>
      <c r="C28" s="19" t="s">
        <v>92</v>
      </c>
      <c r="D28" s="13">
        <v>63</v>
      </c>
      <c r="E28" s="18" t="s">
        <v>19</v>
      </c>
      <c r="F28" s="12" t="s">
        <v>12</v>
      </c>
      <c r="G28" s="18" t="s">
        <v>13</v>
      </c>
      <c r="H28" s="12" t="s">
        <v>14</v>
      </c>
      <c r="I28" s="18" t="s">
        <v>15</v>
      </c>
      <c r="J28" s="12" t="s">
        <v>171</v>
      </c>
      <c r="K28" s="18" t="s">
        <v>19</v>
      </c>
      <c r="L28" s="31"/>
    </row>
    <row r="29" spans="1:12" ht="15.75" thickBot="1">
      <c r="A29" s="15" t="s">
        <v>502</v>
      </c>
      <c r="B29" s="12" t="s">
        <v>93</v>
      </c>
      <c r="C29" s="19" t="s">
        <v>94</v>
      </c>
      <c r="D29" s="13">
        <v>154</v>
      </c>
      <c r="E29" s="18" t="s">
        <v>19</v>
      </c>
      <c r="F29" s="12" t="s">
        <v>12</v>
      </c>
      <c r="G29" s="18" t="s">
        <v>13</v>
      </c>
      <c r="H29" s="12" t="s">
        <v>14</v>
      </c>
      <c r="I29" s="18" t="s">
        <v>15</v>
      </c>
      <c r="J29" s="12" t="s">
        <v>171</v>
      </c>
      <c r="K29" s="18" t="s">
        <v>19</v>
      </c>
      <c r="L29" s="31"/>
    </row>
    <row r="30" spans="1:12" ht="15.75" thickBot="1">
      <c r="A30" s="15" t="s">
        <v>503</v>
      </c>
      <c r="B30" s="12" t="s">
        <v>93</v>
      </c>
      <c r="C30" s="19" t="s">
        <v>95</v>
      </c>
      <c r="D30" s="13">
        <v>123.2</v>
      </c>
      <c r="E30" s="18" t="s">
        <v>19</v>
      </c>
      <c r="F30" s="12" t="s">
        <v>12</v>
      </c>
      <c r="G30" s="18" t="s">
        <v>13</v>
      </c>
      <c r="H30" s="12" t="s">
        <v>14</v>
      </c>
      <c r="I30" s="18" t="s">
        <v>15</v>
      </c>
      <c r="J30" s="12" t="s">
        <v>171</v>
      </c>
      <c r="K30" s="18" t="s">
        <v>19</v>
      </c>
      <c r="L30" s="31"/>
    </row>
    <row r="31" spans="1:12" ht="15.75" thickBot="1">
      <c r="A31" s="15" t="s">
        <v>96</v>
      </c>
      <c r="B31" s="12" t="s">
        <v>24</v>
      </c>
      <c r="C31" s="19" t="s">
        <v>575</v>
      </c>
      <c r="D31" s="13">
        <v>480</v>
      </c>
      <c r="E31" s="18" t="s">
        <v>25</v>
      </c>
      <c r="F31" s="12" t="s">
        <v>20</v>
      </c>
      <c r="G31" s="18" t="s">
        <v>13</v>
      </c>
      <c r="H31" s="12" t="s">
        <v>70</v>
      </c>
      <c r="I31" s="18" t="s">
        <v>15</v>
      </c>
      <c r="J31" s="12" t="s">
        <v>70</v>
      </c>
      <c r="K31" s="18" t="s">
        <v>167</v>
      </c>
      <c r="L31" s="31"/>
    </row>
    <row r="32" spans="1:12" ht="15.75" thickBot="1">
      <c r="A32" s="15" t="s">
        <v>97</v>
      </c>
      <c r="B32" s="12" t="s">
        <v>24</v>
      </c>
      <c r="C32" s="19" t="s">
        <v>98</v>
      </c>
      <c r="D32" s="13">
        <v>800</v>
      </c>
      <c r="E32" s="18" t="s">
        <v>25</v>
      </c>
      <c r="F32" s="12" t="s">
        <v>20</v>
      </c>
      <c r="G32" s="18" t="s">
        <v>13</v>
      </c>
      <c r="H32" s="12" t="s">
        <v>14</v>
      </c>
      <c r="I32" s="18" t="s">
        <v>15</v>
      </c>
      <c r="J32" s="12" t="s">
        <v>171</v>
      </c>
      <c r="K32" s="18" t="s">
        <v>167</v>
      </c>
      <c r="L32" s="31"/>
    </row>
    <row r="33" spans="1:12" ht="23.25" thickBot="1">
      <c r="A33" s="17" t="s">
        <v>576</v>
      </c>
      <c r="B33" s="14" t="s">
        <v>100</v>
      </c>
      <c r="C33" s="19" t="s">
        <v>101</v>
      </c>
      <c r="D33" s="13">
        <v>130.80000000000001</v>
      </c>
      <c r="E33" s="20" t="s">
        <v>16</v>
      </c>
      <c r="F33" s="14" t="s">
        <v>17</v>
      </c>
      <c r="G33" s="20" t="s">
        <v>18</v>
      </c>
      <c r="H33" s="14" t="s">
        <v>14</v>
      </c>
      <c r="I33" s="20" t="s">
        <v>15</v>
      </c>
      <c r="J33" s="14" t="s">
        <v>171</v>
      </c>
      <c r="K33" s="20" t="s">
        <v>17</v>
      </c>
      <c r="L33" s="31"/>
    </row>
    <row r="34" spans="1:12" ht="15.75" thickBot="1"/>
    <row r="35" spans="1:12" ht="15.75" thickBot="1">
      <c r="A35" s="61" t="s">
        <v>102</v>
      </c>
      <c r="B35" s="109"/>
      <c r="C35" s="110"/>
      <c r="D35" s="62">
        <f>SUM(existingstable[Nameplate Capacity (MW)])</f>
        <v>4896.04</v>
      </c>
      <c r="E35" s="110"/>
      <c r="F35" s="109"/>
      <c r="G35" s="110"/>
      <c r="H35" s="10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C100"/>
  <sheetViews>
    <sheetView workbookViewId="0"/>
  </sheetViews>
  <sheetFormatPr defaultColWidth="9.140625" defaultRowHeight="15"/>
  <cols>
    <col min="1" max="1" width="24.140625" style="99" bestFit="1" customWidth="1"/>
    <col min="2" max="11" width="10.7109375" style="99" bestFit="1" customWidth="1"/>
    <col min="12" max="12" width="16.140625" style="99" bestFit="1" customWidth="1"/>
    <col min="13" max="13" width="12.7109375" style="99" hidden="1" customWidth="1"/>
    <col min="14" max="14" width="11" style="99" hidden="1" customWidth="1"/>
    <col min="15" max="15" width="11.42578125" style="99" hidden="1" customWidth="1"/>
    <col min="16" max="21" width="9.140625" style="99"/>
    <col min="22" max="16384" width="9.140625" style="31"/>
  </cols>
  <sheetData>
    <row r="1" spans="1:107" ht="20.25" thickBot="1">
      <c r="A1" s="67" t="s">
        <v>425</v>
      </c>
      <c r="B1" s="31"/>
      <c r="C1" s="31"/>
      <c r="D1" s="31"/>
      <c r="E1" s="31"/>
      <c r="F1" s="31"/>
      <c r="G1" s="31"/>
      <c r="H1" s="31"/>
      <c r="I1" s="31"/>
      <c r="J1" s="31"/>
      <c r="K1" s="31"/>
      <c r="L1" s="31"/>
      <c r="M1" s="31"/>
      <c r="N1" s="31"/>
      <c r="O1" s="31"/>
      <c r="P1" s="31"/>
      <c r="Q1" s="31"/>
      <c r="R1" s="31"/>
      <c r="S1" s="31"/>
      <c r="T1" s="31"/>
      <c r="U1" s="31"/>
    </row>
    <row r="2" spans="1:107" customFormat="1" ht="15.75" thickBot="1">
      <c r="A2" s="132" t="s">
        <v>1</v>
      </c>
      <c r="B2" s="132" t="s">
        <v>577</v>
      </c>
      <c r="C2" s="132" t="s">
        <v>578</v>
      </c>
      <c r="D2" s="132" t="s">
        <v>579</v>
      </c>
      <c r="E2" s="132" t="s">
        <v>580</v>
      </c>
      <c r="F2" s="132" t="s">
        <v>581</v>
      </c>
      <c r="G2" s="132" t="s">
        <v>582</v>
      </c>
      <c r="H2" s="132" t="s">
        <v>583</v>
      </c>
      <c r="I2" s="132" t="s">
        <v>584</v>
      </c>
      <c r="J2" s="132" t="s">
        <v>585</v>
      </c>
      <c r="K2" s="132" t="s">
        <v>586</v>
      </c>
      <c r="L2" s="132" t="s">
        <v>5</v>
      </c>
      <c r="M2" s="66" t="s">
        <v>427</v>
      </c>
      <c r="N2" s="66" t="s">
        <v>7</v>
      </c>
      <c r="O2" s="66" t="s">
        <v>428</v>
      </c>
      <c r="P2" s="99"/>
      <c r="Q2" s="99"/>
      <c r="R2" s="99"/>
      <c r="S2" s="99"/>
      <c r="T2" s="99"/>
      <c r="U2" s="99"/>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row>
    <row r="3" spans="1:107" customFormat="1" ht="15.75" thickBot="1">
      <c r="A3" s="3" t="s">
        <v>8</v>
      </c>
      <c r="B3" s="103">
        <v>50</v>
      </c>
      <c r="C3" s="104">
        <v>50</v>
      </c>
      <c r="D3" s="103">
        <v>50</v>
      </c>
      <c r="E3" s="104">
        <v>50</v>
      </c>
      <c r="F3" s="103">
        <v>50</v>
      </c>
      <c r="G3" s="104">
        <v>50</v>
      </c>
      <c r="H3" s="103">
        <v>50</v>
      </c>
      <c r="I3" s="104">
        <v>50</v>
      </c>
      <c r="J3" s="103">
        <v>50</v>
      </c>
      <c r="K3" s="104">
        <v>50</v>
      </c>
      <c r="L3" s="59" t="s">
        <v>13</v>
      </c>
      <c r="M3" s="60" t="s">
        <v>429</v>
      </c>
      <c r="N3" s="59" t="s">
        <v>15</v>
      </c>
      <c r="O3" s="60" t="s">
        <v>430</v>
      </c>
      <c r="P3" s="99"/>
      <c r="Q3" s="99"/>
      <c r="R3" s="99"/>
      <c r="S3" s="99"/>
      <c r="T3" s="99"/>
      <c r="U3" s="99"/>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row>
    <row r="4" spans="1:107" customFormat="1" ht="15.75" thickBot="1">
      <c r="A4" s="3" t="s">
        <v>104</v>
      </c>
      <c r="B4" s="103">
        <v>0</v>
      </c>
      <c r="C4" s="104">
        <v>210</v>
      </c>
      <c r="D4" s="103">
        <v>210</v>
      </c>
      <c r="E4" s="104">
        <v>210</v>
      </c>
      <c r="F4" s="103">
        <v>210</v>
      </c>
      <c r="G4" s="104">
        <v>210</v>
      </c>
      <c r="H4" s="103">
        <v>210</v>
      </c>
      <c r="I4" s="104">
        <v>210</v>
      </c>
      <c r="J4" s="103">
        <v>210</v>
      </c>
      <c r="K4" s="104">
        <v>210</v>
      </c>
      <c r="L4" s="59" t="s">
        <v>13</v>
      </c>
      <c r="M4" s="60" t="s">
        <v>429</v>
      </c>
      <c r="N4" s="59" t="s">
        <v>15</v>
      </c>
      <c r="O4" s="60" t="s">
        <v>430</v>
      </c>
      <c r="P4" s="99"/>
      <c r="Q4" s="99"/>
      <c r="R4" s="99"/>
      <c r="S4" s="99"/>
      <c r="T4" s="99"/>
      <c r="U4" s="99"/>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row>
    <row r="5" spans="1:107" customFormat="1" ht="15.75" thickBot="1">
      <c r="A5" s="3" t="s">
        <v>219</v>
      </c>
      <c r="B5" s="103">
        <v>110</v>
      </c>
      <c r="C5" s="104">
        <v>110</v>
      </c>
      <c r="D5" s="103">
        <v>110</v>
      </c>
      <c r="E5" s="104">
        <v>110</v>
      </c>
      <c r="F5" s="103">
        <v>110</v>
      </c>
      <c r="G5" s="104">
        <v>110</v>
      </c>
      <c r="H5" s="103">
        <v>110</v>
      </c>
      <c r="I5" s="104">
        <v>110</v>
      </c>
      <c r="J5" s="103">
        <v>110</v>
      </c>
      <c r="K5" s="104">
        <v>110</v>
      </c>
      <c r="L5" s="59" t="s">
        <v>18</v>
      </c>
      <c r="M5" s="60" t="s">
        <v>28</v>
      </c>
      <c r="N5" s="59" t="s">
        <v>15</v>
      </c>
      <c r="O5" s="60" t="s">
        <v>430</v>
      </c>
      <c r="P5" s="99"/>
      <c r="Q5" s="99"/>
      <c r="R5" s="99"/>
      <c r="S5" s="99"/>
      <c r="T5" s="99"/>
      <c r="U5" s="99"/>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row>
    <row r="6" spans="1:107" customFormat="1" ht="15.75" thickBot="1">
      <c r="A6" s="3" t="s">
        <v>222</v>
      </c>
      <c r="B6" s="103">
        <v>110</v>
      </c>
      <c r="C6" s="104">
        <v>110</v>
      </c>
      <c r="D6" s="103">
        <v>110</v>
      </c>
      <c r="E6" s="104">
        <v>110</v>
      </c>
      <c r="F6" s="103">
        <v>110</v>
      </c>
      <c r="G6" s="104">
        <v>110</v>
      </c>
      <c r="H6" s="103">
        <v>110</v>
      </c>
      <c r="I6" s="104">
        <v>110</v>
      </c>
      <c r="J6" s="103">
        <v>110</v>
      </c>
      <c r="K6" s="104">
        <v>110</v>
      </c>
      <c r="L6" s="59" t="s">
        <v>18</v>
      </c>
      <c r="M6" s="60" t="s">
        <v>28</v>
      </c>
      <c r="N6" s="59" t="s">
        <v>15</v>
      </c>
      <c r="O6" s="60" t="s">
        <v>430</v>
      </c>
      <c r="P6" s="99"/>
      <c r="Q6" s="99"/>
      <c r="R6" s="99"/>
      <c r="S6" s="99"/>
      <c r="T6" s="99"/>
      <c r="U6" s="99"/>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row>
    <row r="7" spans="1:107" customFormat="1" ht="15.75" thickBot="1">
      <c r="A7" s="3" t="s">
        <v>571</v>
      </c>
      <c r="B7" s="103">
        <v>56.7</v>
      </c>
      <c r="C7" s="104">
        <v>56.7</v>
      </c>
      <c r="D7" s="103">
        <v>56.7</v>
      </c>
      <c r="E7" s="104">
        <v>56.7</v>
      </c>
      <c r="F7" s="103">
        <v>56.7</v>
      </c>
      <c r="G7" s="104">
        <v>56.7</v>
      </c>
      <c r="H7" s="103">
        <v>56.7</v>
      </c>
      <c r="I7" s="104">
        <v>56.7</v>
      </c>
      <c r="J7" s="103">
        <v>56.7</v>
      </c>
      <c r="K7" s="104">
        <v>56.7</v>
      </c>
      <c r="L7" s="59" t="s">
        <v>18</v>
      </c>
      <c r="M7" s="60" t="s">
        <v>17</v>
      </c>
      <c r="N7" s="59" t="s">
        <v>15</v>
      </c>
      <c r="O7" s="60" t="s">
        <v>430</v>
      </c>
      <c r="P7" s="99"/>
      <c r="Q7" s="99"/>
      <c r="R7" s="99"/>
      <c r="S7" s="99"/>
      <c r="T7" s="99"/>
      <c r="U7" s="99"/>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row>
    <row r="8" spans="1:107" customFormat="1" ht="15.75" thickBot="1">
      <c r="A8" s="3" t="s">
        <v>34</v>
      </c>
      <c r="B8" s="103">
        <v>112</v>
      </c>
      <c r="C8" s="104">
        <v>112</v>
      </c>
      <c r="D8" s="103">
        <v>112</v>
      </c>
      <c r="E8" s="104">
        <v>112</v>
      </c>
      <c r="F8" s="103">
        <v>112</v>
      </c>
      <c r="G8" s="104">
        <v>112</v>
      </c>
      <c r="H8" s="103">
        <v>112</v>
      </c>
      <c r="I8" s="104">
        <v>112</v>
      </c>
      <c r="J8" s="103">
        <v>112</v>
      </c>
      <c r="K8" s="104">
        <v>112</v>
      </c>
      <c r="L8" s="59" t="s">
        <v>13</v>
      </c>
      <c r="M8" s="60" t="s">
        <v>429</v>
      </c>
      <c r="N8" s="59" t="s">
        <v>15</v>
      </c>
      <c r="O8" s="60" t="s">
        <v>430</v>
      </c>
      <c r="P8" s="99"/>
      <c r="Q8" s="99"/>
      <c r="R8" s="99"/>
      <c r="S8" s="99"/>
      <c r="T8" s="99"/>
      <c r="U8" s="99"/>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row>
    <row r="9" spans="1:107" customFormat="1" ht="15.75" thickBot="1">
      <c r="A9" s="3" t="s">
        <v>228</v>
      </c>
      <c r="B9" s="103">
        <v>30</v>
      </c>
      <c r="C9" s="104">
        <v>30</v>
      </c>
      <c r="D9" s="103">
        <v>30</v>
      </c>
      <c r="E9" s="104">
        <v>30</v>
      </c>
      <c r="F9" s="103">
        <v>30</v>
      </c>
      <c r="G9" s="104">
        <v>30</v>
      </c>
      <c r="H9" s="103">
        <v>30</v>
      </c>
      <c r="I9" s="104">
        <v>30</v>
      </c>
      <c r="J9" s="103">
        <v>30</v>
      </c>
      <c r="K9" s="104">
        <v>30</v>
      </c>
      <c r="L9" s="59" t="s">
        <v>13</v>
      </c>
      <c r="M9" s="60" t="s">
        <v>17</v>
      </c>
      <c r="N9" s="59" t="s">
        <v>15</v>
      </c>
      <c r="O9" s="60" t="s">
        <v>430</v>
      </c>
      <c r="P9" s="99"/>
      <c r="Q9" s="99"/>
      <c r="R9" s="99"/>
      <c r="S9" s="99"/>
      <c r="T9" s="99"/>
      <c r="U9" s="99"/>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row>
    <row r="10" spans="1:107" customFormat="1" ht="15.75" thickBot="1">
      <c r="A10" s="3" t="s">
        <v>37</v>
      </c>
      <c r="B10" s="103">
        <v>81.900000000000006</v>
      </c>
      <c r="C10" s="104">
        <v>81.900000000000006</v>
      </c>
      <c r="D10" s="103">
        <v>81.900000000000006</v>
      </c>
      <c r="E10" s="104">
        <v>81.900000000000006</v>
      </c>
      <c r="F10" s="103">
        <v>81.900000000000006</v>
      </c>
      <c r="G10" s="104">
        <v>81.900000000000006</v>
      </c>
      <c r="H10" s="103">
        <v>81.900000000000006</v>
      </c>
      <c r="I10" s="104">
        <v>81.900000000000006</v>
      </c>
      <c r="J10" s="103">
        <v>81.900000000000006</v>
      </c>
      <c r="K10" s="104">
        <v>81.900000000000006</v>
      </c>
      <c r="L10" s="59" t="s">
        <v>18</v>
      </c>
      <c r="M10" s="60" t="s">
        <v>17</v>
      </c>
      <c r="N10" s="59" t="s">
        <v>15</v>
      </c>
      <c r="O10" s="60" t="s">
        <v>430</v>
      </c>
      <c r="P10" s="99"/>
      <c r="Q10" s="99"/>
      <c r="R10" s="99"/>
      <c r="S10" s="99"/>
      <c r="T10" s="99"/>
      <c r="U10" s="99"/>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row>
    <row r="11" spans="1:107" customFormat="1" ht="15.75" thickBot="1">
      <c r="A11" s="3" t="s">
        <v>40</v>
      </c>
      <c r="B11" s="103">
        <v>32.5</v>
      </c>
      <c r="C11" s="104">
        <v>32.5</v>
      </c>
      <c r="D11" s="103">
        <v>32.5</v>
      </c>
      <c r="E11" s="104">
        <v>32.5</v>
      </c>
      <c r="F11" s="103">
        <v>32.5</v>
      </c>
      <c r="G11" s="104">
        <v>32.5</v>
      </c>
      <c r="H11" s="103">
        <v>32.5</v>
      </c>
      <c r="I11" s="104">
        <v>32.5</v>
      </c>
      <c r="J11" s="103">
        <v>32.5</v>
      </c>
      <c r="K11" s="104">
        <v>32.5</v>
      </c>
      <c r="L11" s="59" t="s">
        <v>18</v>
      </c>
      <c r="M11" s="60" t="s">
        <v>17</v>
      </c>
      <c r="N11" s="59" t="s">
        <v>15</v>
      </c>
      <c r="O11" s="60" t="s">
        <v>430</v>
      </c>
      <c r="P11" s="99"/>
      <c r="Q11" s="99"/>
      <c r="R11" s="99"/>
      <c r="S11" s="99"/>
      <c r="T11" s="99"/>
      <c r="U11" s="99"/>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row>
    <row r="12" spans="1:107" customFormat="1" ht="15.75" thickBot="1">
      <c r="A12" s="3" t="s">
        <v>43</v>
      </c>
      <c r="B12" s="103">
        <v>193</v>
      </c>
      <c r="C12" s="104">
        <v>193</v>
      </c>
      <c r="D12" s="103">
        <v>193</v>
      </c>
      <c r="E12" s="104">
        <v>193</v>
      </c>
      <c r="F12" s="103">
        <v>193</v>
      </c>
      <c r="G12" s="104">
        <v>193</v>
      </c>
      <c r="H12" s="103">
        <v>193</v>
      </c>
      <c r="I12" s="104">
        <v>193</v>
      </c>
      <c r="J12" s="103">
        <v>193</v>
      </c>
      <c r="K12" s="104">
        <v>193</v>
      </c>
      <c r="L12" s="59" t="s">
        <v>13</v>
      </c>
      <c r="M12" s="60" t="s">
        <v>429</v>
      </c>
      <c r="N12" s="59" t="s">
        <v>15</v>
      </c>
      <c r="O12" s="60" t="s">
        <v>430</v>
      </c>
      <c r="P12" s="99"/>
      <c r="Q12" s="99"/>
      <c r="R12" s="99"/>
      <c r="S12" s="99"/>
      <c r="T12" s="99"/>
      <c r="U12" s="99"/>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row>
    <row r="13" spans="1:107" customFormat="1" ht="15.75" thickBot="1">
      <c r="A13" s="3" t="s">
        <v>432</v>
      </c>
      <c r="B13" s="103">
        <v>0</v>
      </c>
      <c r="C13" s="104">
        <v>0</v>
      </c>
      <c r="D13" s="103">
        <v>0</v>
      </c>
      <c r="E13" s="104">
        <v>0</v>
      </c>
      <c r="F13" s="103">
        <v>0</v>
      </c>
      <c r="G13" s="104">
        <v>0</v>
      </c>
      <c r="H13" s="103">
        <v>0</v>
      </c>
      <c r="I13" s="104">
        <v>0</v>
      </c>
      <c r="J13" s="103">
        <v>0</v>
      </c>
      <c r="K13" s="104">
        <v>0</v>
      </c>
      <c r="L13" s="59" t="s">
        <v>13</v>
      </c>
      <c r="M13" s="60" t="s">
        <v>429</v>
      </c>
      <c r="N13" s="59" t="s">
        <v>15</v>
      </c>
      <c r="O13" s="60" t="s">
        <v>430</v>
      </c>
      <c r="P13" s="99"/>
      <c r="Q13" s="99"/>
      <c r="R13" s="99"/>
      <c r="S13" s="99"/>
      <c r="T13" s="99"/>
      <c r="U13" s="99"/>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row>
    <row r="14" spans="1:107" customFormat="1" ht="15.75" thickBot="1">
      <c r="A14" s="3" t="s">
        <v>46</v>
      </c>
      <c r="B14" s="103">
        <v>58.5</v>
      </c>
      <c r="C14" s="104">
        <v>58.5</v>
      </c>
      <c r="D14" s="103">
        <v>58.5</v>
      </c>
      <c r="E14" s="104">
        <v>58.5</v>
      </c>
      <c r="F14" s="103">
        <v>58.5</v>
      </c>
      <c r="G14" s="104">
        <v>58.5</v>
      </c>
      <c r="H14" s="103">
        <v>58.5</v>
      </c>
      <c r="I14" s="104">
        <v>58.5</v>
      </c>
      <c r="J14" s="103">
        <v>58.5</v>
      </c>
      <c r="K14" s="104">
        <v>58.5</v>
      </c>
      <c r="L14" s="59" t="s">
        <v>18</v>
      </c>
      <c r="M14" s="60" t="s">
        <v>17</v>
      </c>
      <c r="N14" s="59" t="s">
        <v>15</v>
      </c>
      <c r="O14" s="60" t="s">
        <v>430</v>
      </c>
      <c r="P14" s="99"/>
      <c r="Q14" s="99"/>
      <c r="R14" s="99"/>
      <c r="S14" s="99"/>
      <c r="T14" s="99"/>
      <c r="U14" s="99"/>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row>
    <row r="15" spans="1:107" customFormat="1" ht="15.75" thickBot="1">
      <c r="A15" s="3" t="s">
        <v>49</v>
      </c>
      <c r="B15" s="103">
        <v>44.2</v>
      </c>
      <c r="C15" s="104">
        <v>44.2</v>
      </c>
      <c r="D15" s="103">
        <v>44.2</v>
      </c>
      <c r="E15" s="104">
        <v>44.2</v>
      </c>
      <c r="F15" s="103">
        <v>44.2</v>
      </c>
      <c r="G15" s="104">
        <v>44.2</v>
      </c>
      <c r="H15" s="103">
        <v>44.2</v>
      </c>
      <c r="I15" s="104">
        <v>44.2</v>
      </c>
      <c r="J15" s="103">
        <v>44.2</v>
      </c>
      <c r="K15" s="104">
        <v>44.2</v>
      </c>
      <c r="L15" s="59" t="s">
        <v>18</v>
      </c>
      <c r="M15" s="60" t="s">
        <v>17</v>
      </c>
      <c r="N15" s="59" t="s">
        <v>15</v>
      </c>
      <c r="O15" s="60" t="s">
        <v>430</v>
      </c>
      <c r="P15" s="99"/>
      <c r="Q15" s="99"/>
      <c r="R15" s="99"/>
      <c r="S15" s="99"/>
      <c r="T15" s="99"/>
      <c r="U15" s="99"/>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row>
    <row r="16" spans="1:107" customFormat="1" ht="15.75" thickBot="1">
      <c r="A16" s="3" t="s">
        <v>52</v>
      </c>
      <c r="B16" s="103">
        <v>100</v>
      </c>
      <c r="C16" s="104">
        <v>100</v>
      </c>
      <c r="D16" s="103">
        <v>100</v>
      </c>
      <c r="E16" s="104">
        <v>100</v>
      </c>
      <c r="F16" s="103">
        <v>100</v>
      </c>
      <c r="G16" s="104">
        <v>100</v>
      </c>
      <c r="H16" s="103">
        <v>100</v>
      </c>
      <c r="I16" s="104">
        <v>100</v>
      </c>
      <c r="J16" s="103">
        <v>100</v>
      </c>
      <c r="K16" s="104">
        <v>100</v>
      </c>
      <c r="L16" s="59" t="s">
        <v>13</v>
      </c>
      <c r="M16" s="60" t="s">
        <v>433</v>
      </c>
      <c r="N16" s="59" t="s">
        <v>15</v>
      </c>
      <c r="O16" s="60" t="s">
        <v>430</v>
      </c>
      <c r="P16" s="99"/>
      <c r="Q16" s="99"/>
      <c r="R16" s="99"/>
      <c r="S16" s="99"/>
      <c r="T16" s="99"/>
      <c r="U16" s="99"/>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row>
    <row r="17" spans="1:107" customFormat="1" ht="15.75" thickBot="1">
      <c r="A17" s="3" t="s">
        <v>55</v>
      </c>
      <c r="B17" s="103">
        <v>100</v>
      </c>
      <c r="C17" s="104">
        <v>100</v>
      </c>
      <c r="D17" s="103">
        <v>100</v>
      </c>
      <c r="E17" s="104">
        <v>100</v>
      </c>
      <c r="F17" s="103">
        <v>100</v>
      </c>
      <c r="G17" s="104">
        <v>100</v>
      </c>
      <c r="H17" s="103">
        <v>100</v>
      </c>
      <c r="I17" s="104">
        <v>100</v>
      </c>
      <c r="J17" s="103">
        <v>100</v>
      </c>
      <c r="K17" s="104">
        <v>100</v>
      </c>
      <c r="L17" s="59" t="s">
        <v>18</v>
      </c>
      <c r="M17" s="60" t="s">
        <v>17</v>
      </c>
      <c r="N17" s="59" t="s">
        <v>15</v>
      </c>
      <c r="O17" s="60" t="s">
        <v>430</v>
      </c>
      <c r="P17" s="99"/>
      <c r="Q17" s="99"/>
      <c r="R17" s="99"/>
      <c r="S17" s="99"/>
      <c r="T17" s="99"/>
      <c r="U17" s="99"/>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row>
    <row r="18" spans="1:107" customFormat="1" ht="15.75" thickBot="1">
      <c r="A18" s="3" t="s">
        <v>58</v>
      </c>
      <c r="B18" s="103">
        <v>100</v>
      </c>
      <c r="C18" s="104">
        <v>100</v>
      </c>
      <c r="D18" s="103">
        <v>100</v>
      </c>
      <c r="E18" s="104">
        <v>100</v>
      </c>
      <c r="F18" s="103">
        <v>100</v>
      </c>
      <c r="G18" s="104">
        <v>100</v>
      </c>
      <c r="H18" s="103">
        <v>100</v>
      </c>
      <c r="I18" s="104">
        <v>100</v>
      </c>
      <c r="J18" s="103">
        <v>100</v>
      </c>
      <c r="K18" s="104">
        <v>100</v>
      </c>
      <c r="L18" s="59" t="s">
        <v>18</v>
      </c>
      <c r="M18" s="60" t="s">
        <v>17</v>
      </c>
      <c r="N18" s="59" t="s">
        <v>15</v>
      </c>
      <c r="O18" s="60" t="s">
        <v>430</v>
      </c>
      <c r="P18" s="99"/>
      <c r="Q18" s="99"/>
      <c r="R18" s="99"/>
      <c r="S18" s="99"/>
      <c r="T18" s="99"/>
      <c r="U18" s="99"/>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row>
    <row r="19" spans="1:107" customFormat="1" ht="15.75" thickBot="1">
      <c r="A19" s="3" t="s">
        <v>60</v>
      </c>
      <c r="B19" s="103">
        <v>109</v>
      </c>
      <c r="C19" s="104">
        <v>109</v>
      </c>
      <c r="D19" s="103">
        <v>109</v>
      </c>
      <c r="E19" s="104">
        <v>109</v>
      </c>
      <c r="F19" s="103">
        <v>109</v>
      </c>
      <c r="G19" s="104">
        <v>109</v>
      </c>
      <c r="H19" s="103">
        <v>109</v>
      </c>
      <c r="I19" s="104">
        <v>109</v>
      </c>
      <c r="J19" s="103">
        <v>109</v>
      </c>
      <c r="K19" s="104">
        <v>109</v>
      </c>
      <c r="L19" s="59" t="s">
        <v>18</v>
      </c>
      <c r="M19" s="60" t="s">
        <v>17</v>
      </c>
      <c r="N19" s="59" t="s">
        <v>15</v>
      </c>
      <c r="O19" s="60" t="s">
        <v>430</v>
      </c>
      <c r="P19" s="99"/>
      <c r="Q19" s="99"/>
      <c r="R19" s="99"/>
      <c r="S19" s="99"/>
      <c r="T19" s="99"/>
      <c r="U19" s="99"/>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row>
    <row r="20" spans="1:107" customFormat="1" ht="15.75" thickBot="1">
      <c r="A20" s="3" t="s">
        <v>63</v>
      </c>
      <c r="B20" s="103">
        <v>68</v>
      </c>
      <c r="C20" s="104">
        <v>68</v>
      </c>
      <c r="D20" s="103">
        <v>68</v>
      </c>
      <c r="E20" s="104">
        <v>68</v>
      </c>
      <c r="F20" s="103">
        <v>68</v>
      </c>
      <c r="G20" s="104">
        <v>68</v>
      </c>
      <c r="H20" s="103">
        <v>68</v>
      </c>
      <c r="I20" s="104">
        <v>68</v>
      </c>
      <c r="J20" s="103">
        <v>68</v>
      </c>
      <c r="K20" s="104">
        <v>68</v>
      </c>
      <c r="L20" s="59" t="s">
        <v>13</v>
      </c>
      <c r="M20" s="60" t="s">
        <v>429</v>
      </c>
      <c r="N20" s="59" t="s">
        <v>15</v>
      </c>
      <c r="O20" s="60" t="s">
        <v>430</v>
      </c>
      <c r="P20" s="99"/>
      <c r="Q20" s="99"/>
      <c r="R20" s="99"/>
      <c r="S20" s="99"/>
      <c r="T20" s="99"/>
      <c r="U20" s="99"/>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row>
    <row r="21" spans="1:107" customFormat="1" ht="15.75" thickBot="1">
      <c r="A21" s="3" t="s">
        <v>65</v>
      </c>
      <c r="B21" s="103">
        <v>159</v>
      </c>
      <c r="C21" s="104">
        <v>159</v>
      </c>
      <c r="D21" s="103">
        <v>159</v>
      </c>
      <c r="E21" s="104">
        <v>159</v>
      </c>
      <c r="F21" s="103">
        <v>159</v>
      </c>
      <c r="G21" s="104">
        <v>159</v>
      </c>
      <c r="H21" s="103">
        <v>159</v>
      </c>
      <c r="I21" s="104">
        <v>159</v>
      </c>
      <c r="J21" s="103">
        <v>159</v>
      </c>
      <c r="K21" s="104">
        <v>159</v>
      </c>
      <c r="L21" s="59" t="s">
        <v>18</v>
      </c>
      <c r="M21" s="60" t="s">
        <v>17</v>
      </c>
      <c r="N21" s="59" t="s">
        <v>15</v>
      </c>
      <c r="O21" s="60" t="s">
        <v>430</v>
      </c>
      <c r="P21" s="99"/>
      <c r="Q21" s="99"/>
      <c r="R21" s="99"/>
      <c r="S21" s="99"/>
      <c r="T21" s="99"/>
      <c r="U21" s="99"/>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row>
    <row r="22" spans="1:107" customFormat="1" ht="15.75" thickBot="1">
      <c r="A22" s="3" t="s">
        <v>68</v>
      </c>
      <c r="B22" s="103">
        <v>39</v>
      </c>
      <c r="C22" s="104">
        <v>39</v>
      </c>
      <c r="D22" s="103">
        <v>39</v>
      </c>
      <c r="E22" s="104">
        <v>39</v>
      </c>
      <c r="F22" s="103">
        <v>39</v>
      </c>
      <c r="G22" s="104">
        <v>39</v>
      </c>
      <c r="H22" s="103">
        <v>39</v>
      </c>
      <c r="I22" s="104">
        <v>39</v>
      </c>
      <c r="J22" s="103">
        <v>39</v>
      </c>
      <c r="K22" s="104">
        <v>39</v>
      </c>
      <c r="L22" s="59" t="s">
        <v>18</v>
      </c>
      <c r="M22" s="60" t="s">
        <v>17</v>
      </c>
      <c r="N22" s="59" t="s">
        <v>15</v>
      </c>
      <c r="O22" s="60" t="s">
        <v>430</v>
      </c>
      <c r="P22" s="99"/>
      <c r="Q22" s="99"/>
      <c r="R22" s="99"/>
      <c r="S22" s="99"/>
      <c r="T22" s="99"/>
      <c r="U22" s="99"/>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row>
    <row r="23" spans="1:107" customFormat="1" ht="15.75" thickBot="1">
      <c r="A23" s="3" t="s">
        <v>107</v>
      </c>
      <c r="B23" s="103">
        <v>0</v>
      </c>
      <c r="C23" s="104">
        <v>126</v>
      </c>
      <c r="D23" s="103">
        <v>126</v>
      </c>
      <c r="E23" s="104">
        <v>126</v>
      </c>
      <c r="F23" s="103">
        <v>126</v>
      </c>
      <c r="G23" s="104">
        <v>126</v>
      </c>
      <c r="H23" s="103">
        <v>126</v>
      </c>
      <c r="I23" s="104">
        <v>126</v>
      </c>
      <c r="J23" s="103">
        <v>126</v>
      </c>
      <c r="K23" s="104">
        <v>126</v>
      </c>
      <c r="L23" s="59" t="s">
        <v>18</v>
      </c>
      <c r="M23" s="60" t="s">
        <v>17</v>
      </c>
      <c r="N23" s="59" t="s">
        <v>15</v>
      </c>
      <c r="O23" s="60" t="s">
        <v>430</v>
      </c>
      <c r="P23" s="99"/>
      <c r="Q23" s="99"/>
      <c r="R23" s="99"/>
      <c r="S23" s="99"/>
      <c r="T23" s="99"/>
      <c r="U23" s="99"/>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row>
    <row r="24" spans="1:107" customFormat="1" ht="15.75" thickBot="1">
      <c r="A24" s="3" t="s">
        <v>71</v>
      </c>
      <c r="B24" s="103">
        <v>20.7</v>
      </c>
      <c r="C24" s="104">
        <v>20.7</v>
      </c>
      <c r="D24" s="103">
        <v>20.7</v>
      </c>
      <c r="E24" s="104">
        <v>20.7</v>
      </c>
      <c r="F24" s="103">
        <v>20.7</v>
      </c>
      <c r="G24" s="104">
        <v>20.7</v>
      </c>
      <c r="H24" s="103">
        <v>20.7</v>
      </c>
      <c r="I24" s="104">
        <v>20.7</v>
      </c>
      <c r="J24" s="103">
        <v>20.7</v>
      </c>
      <c r="K24" s="104">
        <v>20.7</v>
      </c>
      <c r="L24" s="59" t="s">
        <v>13</v>
      </c>
      <c r="M24" s="60" t="s">
        <v>429</v>
      </c>
      <c r="N24" s="59" t="s">
        <v>15</v>
      </c>
      <c r="O24" s="60" t="s">
        <v>430</v>
      </c>
      <c r="P24" s="99"/>
      <c r="Q24" s="99"/>
      <c r="R24" s="99"/>
      <c r="S24" s="99"/>
      <c r="T24" s="99"/>
      <c r="U24" s="99"/>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row>
    <row r="25" spans="1:107" customFormat="1" ht="15.75" thickBot="1">
      <c r="A25" s="3" t="s">
        <v>73</v>
      </c>
      <c r="B25" s="103">
        <v>68</v>
      </c>
      <c r="C25" s="104">
        <v>68</v>
      </c>
      <c r="D25" s="103">
        <v>68</v>
      </c>
      <c r="E25" s="104">
        <v>68</v>
      </c>
      <c r="F25" s="103">
        <v>68</v>
      </c>
      <c r="G25" s="104">
        <v>68</v>
      </c>
      <c r="H25" s="103">
        <v>68</v>
      </c>
      <c r="I25" s="104">
        <v>68</v>
      </c>
      <c r="J25" s="103">
        <v>68</v>
      </c>
      <c r="K25" s="104">
        <v>68</v>
      </c>
      <c r="L25" s="59" t="s">
        <v>13</v>
      </c>
      <c r="M25" s="60" t="s">
        <v>429</v>
      </c>
      <c r="N25" s="59" t="s">
        <v>15</v>
      </c>
      <c r="O25" s="60" t="s">
        <v>430</v>
      </c>
      <c r="P25" s="99"/>
      <c r="Q25" s="99"/>
      <c r="R25" s="99"/>
      <c r="S25" s="99"/>
      <c r="T25" s="99"/>
      <c r="U25" s="99"/>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row>
    <row r="26" spans="1:107" customFormat="1" ht="15.75" thickBot="1">
      <c r="A26" s="3" t="s">
        <v>75</v>
      </c>
      <c r="B26" s="103">
        <v>172</v>
      </c>
      <c r="C26" s="104">
        <v>172</v>
      </c>
      <c r="D26" s="103">
        <v>172</v>
      </c>
      <c r="E26" s="104">
        <v>172</v>
      </c>
      <c r="F26" s="103">
        <v>172</v>
      </c>
      <c r="G26" s="104">
        <v>172</v>
      </c>
      <c r="H26" s="103">
        <v>172</v>
      </c>
      <c r="I26" s="104">
        <v>172</v>
      </c>
      <c r="J26" s="103">
        <v>172</v>
      </c>
      <c r="K26" s="104">
        <v>172</v>
      </c>
      <c r="L26" s="59" t="s">
        <v>13</v>
      </c>
      <c r="M26" s="60" t="s">
        <v>429</v>
      </c>
      <c r="N26" s="59" t="s">
        <v>15</v>
      </c>
      <c r="O26" s="60" t="s">
        <v>430</v>
      </c>
      <c r="P26" s="99"/>
      <c r="Q26" s="99"/>
      <c r="R26" s="99"/>
      <c r="S26" s="99"/>
      <c r="T26" s="99"/>
      <c r="U26" s="99"/>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row>
    <row r="27" spans="1:107" customFormat="1" ht="15.75" thickBot="1">
      <c r="A27" s="3" t="s">
        <v>78</v>
      </c>
      <c r="B27" s="103">
        <v>458</v>
      </c>
      <c r="C27" s="104">
        <v>458</v>
      </c>
      <c r="D27" s="103">
        <v>458</v>
      </c>
      <c r="E27" s="104">
        <v>458</v>
      </c>
      <c r="F27" s="103">
        <v>458</v>
      </c>
      <c r="G27" s="104">
        <v>458</v>
      </c>
      <c r="H27" s="103">
        <v>458</v>
      </c>
      <c r="I27" s="104">
        <v>458</v>
      </c>
      <c r="J27" s="103">
        <v>458</v>
      </c>
      <c r="K27" s="104">
        <v>458</v>
      </c>
      <c r="L27" s="59" t="s">
        <v>13</v>
      </c>
      <c r="M27" s="60" t="s">
        <v>429</v>
      </c>
      <c r="N27" s="59" t="s">
        <v>15</v>
      </c>
      <c r="O27" s="60" t="s">
        <v>430</v>
      </c>
      <c r="P27" s="99"/>
      <c r="Q27" s="99"/>
      <c r="R27" s="99"/>
      <c r="S27" s="99"/>
      <c r="T27" s="99"/>
      <c r="U27" s="99"/>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row>
    <row r="28" spans="1:107" customFormat="1" ht="15.75" thickBot="1">
      <c r="A28" s="3" t="s">
        <v>81</v>
      </c>
      <c r="B28" s="103">
        <v>56</v>
      </c>
      <c r="C28" s="104">
        <v>56</v>
      </c>
      <c r="D28" s="103">
        <v>56</v>
      </c>
      <c r="E28" s="104">
        <v>56</v>
      </c>
      <c r="F28" s="103">
        <v>56</v>
      </c>
      <c r="G28" s="104">
        <v>56</v>
      </c>
      <c r="H28" s="103">
        <v>56</v>
      </c>
      <c r="I28" s="104">
        <v>56</v>
      </c>
      <c r="J28" s="103">
        <v>56</v>
      </c>
      <c r="K28" s="104">
        <v>56</v>
      </c>
      <c r="L28" s="59" t="s">
        <v>13</v>
      </c>
      <c r="M28" s="60" t="s">
        <v>429</v>
      </c>
      <c r="N28" s="59" t="s">
        <v>15</v>
      </c>
      <c r="O28" s="60" t="s">
        <v>430</v>
      </c>
      <c r="P28" s="99"/>
      <c r="Q28" s="99"/>
      <c r="R28" s="99"/>
      <c r="S28" s="99"/>
      <c r="T28" s="99"/>
      <c r="U28" s="99"/>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row>
    <row r="29" spans="1:107" customFormat="1" ht="15.75" thickBot="1">
      <c r="A29" s="3" t="s">
        <v>83</v>
      </c>
      <c r="B29" s="103">
        <v>57.6</v>
      </c>
      <c r="C29" s="104">
        <v>57.6</v>
      </c>
      <c r="D29" s="103">
        <v>57.6</v>
      </c>
      <c r="E29" s="104">
        <v>57.6</v>
      </c>
      <c r="F29" s="103">
        <v>57.6</v>
      </c>
      <c r="G29" s="104">
        <v>57.6</v>
      </c>
      <c r="H29" s="103">
        <v>57.6</v>
      </c>
      <c r="I29" s="104">
        <v>57.6</v>
      </c>
      <c r="J29" s="103">
        <v>57.6</v>
      </c>
      <c r="K29" s="104">
        <v>57.6</v>
      </c>
      <c r="L29" s="59" t="s">
        <v>13</v>
      </c>
      <c r="M29" s="60" t="s">
        <v>429</v>
      </c>
      <c r="N29" s="59" t="s">
        <v>15</v>
      </c>
      <c r="O29" s="60" t="s">
        <v>430</v>
      </c>
      <c r="P29" s="99"/>
      <c r="Q29" s="99"/>
      <c r="R29" s="99"/>
      <c r="S29" s="99"/>
      <c r="T29" s="99"/>
      <c r="U29" s="99"/>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row>
    <row r="30" spans="1:107" customFormat="1" ht="15.75" thickBot="1">
      <c r="A30" s="3" t="s">
        <v>85</v>
      </c>
      <c r="B30" s="103">
        <v>189</v>
      </c>
      <c r="C30" s="104">
        <v>189</v>
      </c>
      <c r="D30" s="103">
        <v>189</v>
      </c>
      <c r="E30" s="104">
        <v>189</v>
      </c>
      <c r="F30" s="103">
        <v>189</v>
      </c>
      <c r="G30" s="104">
        <v>189</v>
      </c>
      <c r="H30" s="103">
        <v>189</v>
      </c>
      <c r="I30" s="104">
        <v>189</v>
      </c>
      <c r="J30" s="103">
        <v>189</v>
      </c>
      <c r="K30" s="104">
        <v>189</v>
      </c>
      <c r="L30" s="59" t="s">
        <v>13</v>
      </c>
      <c r="M30" s="60" t="s">
        <v>429</v>
      </c>
      <c r="N30" s="59" t="s">
        <v>15</v>
      </c>
      <c r="O30" s="60" t="s">
        <v>430</v>
      </c>
      <c r="P30" s="99"/>
      <c r="Q30" s="99"/>
      <c r="R30" s="99"/>
      <c r="S30" s="99"/>
      <c r="T30" s="99"/>
      <c r="U30" s="99"/>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row>
    <row r="31" spans="1:107" customFormat="1" ht="15.75" thickBot="1">
      <c r="A31" s="3" t="s">
        <v>573</v>
      </c>
      <c r="B31" s="103">
        <v>270</v>
      </c>
      <c r="C31" s="104">
        <v>270</v>
      </c>
      <c r="D31" s="103">
        <v>270</v>
      </c>
      <c r="E31" s="104">
        <v>270</v>
      </c>
      <c r="F31" s="103">
        <v>270</v>
      </c>
      <c r="G31" s="104">
        <v>270</v>
      </c>
      <c r="H31" s="103">
        <v>270</v>
      </c>
      <c r="I31" s="104">
        <v>270</v>
      </c>
      <c r="J31" s="103">
        <v>270</v>
      </c>
      <c r="K31" s="104">
        <v>270</v>
      </c>
      <c r="L31" s="59" t="s">
        <v>18</v>
      </c>
      <c r="M31" s="60" t="s">
        <v>17</v>
      </c>
      <c r="N31" s="59" t="s">
        <v>15</v>
      </c>
      <c r="O31" s="60" t="s">
        <v>430</v>
      </c>
      <c r="P31" s="99"/>
      <c r="Q31" s="99"/>
      <c r="R31" s="99"/>
      <c r="S31" s="99"/>
      <c r="T31" s="99"/>
      <c r="U31" s="99"/>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row>
    <row r="32" spans="1:107" customFormat="1" ht="15.75" thickBot="1">
      <c r="A32" s="3" t="s">
        <v>574</v>
      </c>
      <c r="B32" s="103">
        <v>98.7</v>
      </c>
      <c r="C32" s="104">
        <v>98.7</v>
      </c>
      <c r="D32" s="103">
        <v>98.7</v>
      </c>
      <c r="E32" s="104">
        <v>98.7</v>
      </c>
      <c r="F32" s="103">
        <v>98.7</v>
      </c>
      <c r="G32" s="104">
        <v>98.7</v>
      </c>
      <c r="H32" s="103">
        <v>98.7</v>
      </c>
      <c r="I32" s="104">
        <v>98.7</v>
      </c>
      <c r="J32" s="103">
        <v>98.7</v>
      </c>
      <c r="K32" s="104">
        <v>98.7</v>
      </c>
      <c r="L32" s="59" t="s">
        <v>18</v>
      </c>
      <c r="M32" s="60" t="s">
        <v>17</v>
      </c>
      <c r="N32" s="59" t="s">
        <v>15</v>
      </c>
      <c r="O32" s="60" t="s">
        <v>430</v>
      </c>
      <c r="P32" s="99"/>
      <c r="Q32" s="99"/>
      <c r="R32" s="99"/>
      <c r="S32" s="99"/>
      <c r="T32" s="99"/>
      <c r="U32" s="99"/>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row>
    <row r="33" spans="1:107" customFormat="1" ht="15.75" thickBot="1">
      <c r="A33" s="3" t="s">
        <v>91</v>
      </c>
      <c r="B33" s="103">
        <v>54</v>
      </c>
      <c r="C33" s="104">
        <v>54</v>
      </c>
      <c r="D33" s="103">
        <v>54</v>
      </c>
      <c r="E33" s="104">
        <v>54</v>
      </c>
      <c r="F33" s="103">
        <v>54</v>
      </c>
      <c r="G33" s="104">
        <v>54</v>
      </c>
      <c r="H33" s="103">
        <v>54</v>
      </c>
      <c r="I33" s="104">
        <v>54</v>
      </c>
      <c r="J33" s="103">
        <v>54</v>
      </c>
      <c r="K33" s="104">
        <v>54</v>
      </c>
      <c r="L33" s="59" t="s">
        <v>13</v>
      </c>
      <c r="M33" s="60" t="s">
        <v>429</v>
      </c>
      <c r="N33" s="59" t="s">
        <v>15</v>
      </c>
      <c r="O33" s="60" t="s">
        <v>430</v>
      </c>
      <c r="P33" s="99"/>
      <c r="Q33" s="99"/>
      <c r="R33" s="99"/>
      <c r="S33" s="99"/>
      <c r="T33" s="99"/>
      <c r="U33" s="99"/>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row>
    <row r="34" spans="1:107" customFormat="1" ht="15.75" thickBot="1">
      <c r="A34" s="3" t="s">
        <v>112</v>
      </c>
      <c r="B34" s="103">
        <v>0</v>
      </c>
      <c r="C34" s="104">
        <v>95</v>
      </c>
      <c r="D34" s="103">
        <v>95</v>
      </c>
      <c r="E34" s="104">
        <v>95</v>
      </c>
      <c r="F34" s="103">
        <v>95</v>
      </c>
      <c r="G34" s="104">
        <v>95</v>
      </c>
      <c r="H34" s="103">
        <v>95</v>
      </c>
      <c r="I34" s="104">
        <v>95</v>
      </c>
      <c r="J34" s="103">
        <v>95</v>
      </c>
      <c r="K34" s="104">
        <v>95</v>
      </c>
      <c r="L34" s="59" t="s">
        <v>18</v>
      </c>
      <c r="M34" s="60" t="s">
        <v>28</v>
      </c>
      <c r="N34" s="59" t="s">
        <v>15</v>
      </c>
      <c r="O34" s="60" t="s">
        <v>430</v>
      </c>
      <c r="P34" s="99"/>
      <c r="Q34" s="99"/>
      <c r="R34" s="99"/>
      <c r="S34" s="99"/>
      <c r="T34" s="99"/>
      <c r="U34" s="99"/>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row>
    <row r="35" spans="1:107" customFormat="1" ht="15.75" thickBot="1">
      <c r="A35" s="3" t="s">
        <v>502</v>
      </c>
      <c r="B35" s="103">
        <v>118.63500000000001</v>
      </c>
      <c r="C35" s="104">
        <v>118.63500000000001</v>
      </c>
      <c r="D35" s="103">
        <v>0</v>
      </c>
      <c r="E35" s="104">
        <v>0</v>
      </c>
      <c r="F35" s="103">
        <v>0</v>
      </c>
      <c r="G35" s="104">
        <v>0</v>
      </c>
      <c r="H35" s="103">
        <v>0</v>
      </c>
      <c r="I35" s="104">
        <v>0</v>
      </c>
      <c r="J35" s="103">
        <v>0</v>
      </c>
      <c r="K35" s="104">
        <v>0</v>
      </c>
      <c r="L35" s="59" t="s">
        <v>13</v>
      </c>
      <c r="M35" s="60" t="s">
        <v>429</v>
      </c>
      <c r="N35" s="59" t="s">
        <v>15</v>
      </c>
      <c r="O35" s="60" t="s">
        <v>430</v>
      </c>
      <c r="P35" s="99"/>
      <c r="Q35" s="99"/>
      <c r="R35" s="99"/>
      <c r="S35" s="99"/>
      <c r="T35" s="99"/>
      <c r="U35" s="99"/>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row>
    <row r="36" spans="1:107" customFormat="1" ht="15.75" thickBot="1">
      <c r="A36" s="3" t="s">
        <v>503</v>
      </c>
      <c r="B36" s="103">
        <v>96.14</v>
      </c>
      <c r="C36" s="104">
        <v>96.14</v>
      </c>
      <c r="D36" s="103">
        <v>0</v>
      </c>
      <c r="E36" s="104">
        <v>0</v>
      </c>
      <c r="F36" s="103">
        <v>0</v>
      </c>
      <c r="G36" s="104">
        <v>0</v>
      </c>
      <c r="H36" s="103">
        <v>0</v>
      </c>
      <c r="I36" s="104">
        <v>0</v>
      </c>
      <c r="J36" s="103">
        <v>0</v>
      </c>
      <c r="K36" s="104">
        <v>0</v>
      </c>
      <c r="L36" s="59" t="s">
        <v>13</v>
      </c>
      <c r="M36" s="60" t="s">
        <v>429</v>
      </c>
      <c r="N36" s="59" t="s">
        <v>15</v>
      </c>
      <c r="O36" s="60" t="s">
        <v>430</v>
      </c>
      <c r="P36" s="99"/>
      <c r="Q36" s="99"/>
      <c r="R36" s="99"/>
      <c r="S36" s="99"/>
      <c r="T36" s="99"/>
      <c r="U36" s="99"/>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row>
    <row r="37" spans="1:107" customFormat="1" ht="15.75" thickBot="1">
      <c r="A37" s="3" t="s">
        <v>96</v>
      </c>
      <c r="B37" s="103">
        <v>480</v>
      </c>
      <c r="C37" s="104">
        <v>240</v>
      </c>
      <c r="D37" s="103">
        <v>120</v>
      </c>
      <c r="E37" s="104">
        <v>0</v>
      </c>
      <c r="F37" s="103">
        <v>0</v>
      </c>
      <c r="G37" s="104">
        <v>0</v>
      </c>
      <c r="H37" s="103">
        <v>0</v>
      </c>
      <c r="I37" s="104">
        <v>0</v>
      </c>
      <c r="J37" s="103">
        <v>0</v>
      </c>
      <c r="K37" s="104">
        <v>0</v>
      </c>
      <c r="L37" s="59" t="s">
        <v>13</v>
      </c>
      <c r="M37" s="60" t="s">
        <v>429</v>
      </c>
      <c r="N37" s="59" t="s">
        <v>15</v>
      </c>
      <c r="O37" s="60" t="s">
        <v>430</v>
      </c>
      <c r="P37" s="99"/>
      <c r="Q37" s="99"/>
      <c r="R37" s="99"/>
      <c r="S37" s="99"/>
      <c r="T37" s="99"/>
      <c r="U37" s="99"/>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row>
    <row r="38" spans="1:107" customFormat="1" ht="15.75" thickBot="1">
      <c r="A38" s="3" t="s">
        <v>97</v>
      </c>
      <c r="B38" s="103">
        <v>780</v>
      </c>
      <c r="C38" s="104">
        <v>780</v>
      </c>
      <c r="D38" s="103">
        <v>780</v>
      </c>
      <c r="E38" s="104">
        <v>780</v>
      </c>
      <c r="F38" s="103">
        <v>780</v>
      </c>
      <c r="G38" s="104">
        <v>780</v>
      </c>
      <c r="H38" s="103">
        <v>780</v>
      </c>
      <c r="I38" s="104">
        <v>780</v>
      </c>
      <c r="J38" s="103">
        <v>780</v>
      </c>
      <c r="K38" s="104">
        <v>780</v>
      </c>
      <c r="L38" s="59" t="s">
        <v>13</v>
      </c>
      <c r="M38" s="60" t="s">
        <v>429</v>
      </c>
      <c r="N38" s="59" t="s">
        <v>15</v>
      </c>
      <c r="O38" s="60" t="s">
        <v>430</v>
      </c>
      <c r="P38" s="99"/>
      <c r="Q38" s="99"/>
      <c r="R38" s="99"/>
      <c r="S38" s="99"/>
      <c r="T38" s="99"/>
      <c r="U38" s="99"/>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row>
    <row r="39" spans="1:107" customFormat="1" ht="15.75" thickBot="1">
      <c r="A39" s="3" t="s">
        <v>576</v>
      </c>
      <c r="B39" s="103">
        <v>130.80000000000001</v>
      </c>
      <c r="C39" s="104">
        <v>130.80000000000001</v>
      </c>
      <c r="D39" s="103">
        <v>130.80000000000001</v>
      </c>
      <c r="E39" s="104">
        <v>130.80000000000001</v>
      </c>
      <c r="F39" s="103">
        <v>130.80000000000001</v>
      </c>
      <c r="G39" s="104">
        <v>130.80000000000001</v>
      </c>
      <c r="H39" s="103">
        <v>130.80000000000001</v>
      </c>
      <c r="I39" s="104">
        <v>130.80000000000001</v>
      </c>
      <c r="J39" s="103">
        <v>130.80000000000001</v>
      </c>
      <c r="K39" s="104">
        <v>130.80000000000001</v>
      </c>
      <c r="L39" s="59" t="s">
        <v>18</v>
      </c>
      <c r="M39" s="60" t="s">
        <v>17</v>
      </c>
      <c r="N39" s="59" t="s">
        <v>15</v>
      </c>
      <c r="O39" s="60" t="s">
        <v>430</v>
      </c>
      <c r="P39" s="99"/>
      <c r="Q39" s="99"/>
      <c r="R39" s="99"/>
      <c r="S39" s="99"/>
      <c r="T39" s="99"/>
      <c r="U39" s="99"/>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row>
    <row r="40" spans="1:107" customFormat="1" ht="15.75" thickBot="1">
      <c r="A40" s="3" t="s">
        <v>113</v>
      </c>
      <c r="B40" s="103">
        <v>119</v>
      </c>
      <c r="C40" s="104">
        <v>119</v>
      </c>
      <c r="D40" s="103">
        <v>119</v>
      </c>
      <c r="E40" s="104">
        <v>119</v>
      </c>
      <c r="F40" s="103">
        <v>119</v>
      </c>
      <c r="G40" s="104">
        <v>119</v>
      </c>
      <c r="H40" s="103">
        <v>119</v>
      </c>
      <c r="I40" s="104">
        <v>119</v>
      </c>
      <c r="J40" s="103">
        <v>119</v>
      </c>
      <c r="K40" s="104">
        <v>119</v>
      </c>
      <c r="L40" s="59" t="s">
        <v>18</v>
      </c>
      <c r="M40" s="60" t="s">
        <v>17</v>
      </c>
      <c r="N40" s="59" t="s">
        <v>15</v>
      </c>
      <c r="O40" s="60" t="s">
        <v>430</v>
      </c>
      <c r="P40" s="99"/>
      <c r="Q40" s="99"/>
      <c r="R40" s="99"/>
      <c r="S40" s="99"/>
      <c r="T40" s="99"/>
      <c r="U40" s="99"/>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row>
    <row r="41" spans="1:107" customFormat="1" ht="15.75" thickBot="1">
      <c r="A41" s="99"/>
      <c r="B41" s="105"/>
      <c r="C41" s="105"/>
      <c r="D41" s="105"/>
      <c r="E41" s="105"/>
      <c r="F41" s="105"/>
      <c r="G41" s="105"/>
      <c r="H41" s="105"/>
      <c r="I41" s="105"/>
      <c r="J41" s="105"/>
      <c r="K41" s="105"/>
      <c r="L41" s="99"/>
      <c r="M41" s="99"/>
      <c r="N41" s="99"/>
      <c r="O41" s="99"/>
      <c r="P41" s="99"/>
      <c r="Q41" s="99"/>
      <c r="R41" s="99"/>
      <c r="S41" s="99"/>
      <c r="T41" s="99"/>
      <c r="U41" s="99"/>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row>
    <row r="42" spans="1:107" ht="15.75" thickBot="1">
      <c r="A42" s="61" t="s">
        <v>102</v>
      </c>
      <c r="B42" s="106">
        <f>SUM(sumcapsalltable[2018-19])</f>
        <v>4722.375</v>
      </c>
      <c r="C42" s="106">
        <f>SUM(sumcapsalltable[2019-20])</f>
        <v>4913.375</v>
      </c>
      <c r="D42" s="106">
        <f>SUM(sumcapsalltable[2020-21])</f>
        <v>4578.5999999999995</v>
      </c>
      <c r="E42" s="106">
        <f>SUM(sumcapsalltable[2021-22])</f>
        <v>4458.5999999999995</v>
      </c>
      <c r="F42" s="106">
        <f>SUM(sumcapsalltable[2022-23])</f>
        <v>4458.5999999999995</v>
      </c>
      <c r="G42" s="106">
        <f>SUM(sumcapsalltable[2023-24])</f>
        <v>4458.5999999999995</v>
      </c>
      <c r="H42" s="106">
        <f>SUM(sumcapsalltable[2024-25])</f>
        <v>4458.5999999999995</v>
      </c>
      <c r="I42" s="106">
        <f>SUM(sumcapsalltable[2025-26])</f>
        <v>4458.5999999999995</v>
      </c>
      <c r="J42" s="106">
        <f>SUM(sumcapsalltable[2026-27])</f>
        <v>4458.5999999999995</v>
      </c>
      <c r="K42" s="106">
        <f>SUM(sumcapsalltable[2027-28])</f>
        <v>4458.5999999999995</v>
      </c>
      <c r="L42" s="62"/>
      <c r="M42" s="63"/>
      <c r="N42" s="64"/>
      <c r="O42" s="64"/>
    </row>
    <row r="43" spans="1:107" s="57" customFormat="1">
      <c r="A43" s="99"/>
      <c r="B43" s="68"/>
      <c r="C43" s="68"/>
      <c r="D43" s="68"/>
      <c r="E43" s="68"/>
      <c r="F43" s="68"/>
      <c r="G43" s="68"/>
      <c r="H43" s="68"/>
      <c r="I43" s="68"/>
      <c r="J43" s="68"/>
      <c r="K43" s="68"/>
      <c r="L43" s="99"/>
      <c r="M43" s="64"/>
      <c r="N43" s="65"/>
      <c r="O43" s="64"/>
      <c r="P43" s="64"/>
      <c r="Q43" s="64"/>
      <c r="R43" s="64"/>
      <c r="S43" s="64"/>
      <c r="T43" s="64"/>
      <c r="U43" s="64"/>
      <c r="V43" s="64"/>
      <c r="W43" s="64"/>
      <c r="X43" s="64"/>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row>
    <row r="44" spans="1:107" ht="34.5" customHeight="1">
      <c r="A44" s="150" t="s">
        <v>434</v>
      </c>
      <c r="B44" s="150"/>
      <c r="C44" s="150"/>
      <c r="D44" s="150"/>
      <c r="E44" s="150"/>
      <c r="F44" s="150"/>
      <c r="G44" s="150"/>
      <c r="H44" s="150"/>
      <c r="I44" s="150"/>
      <c r="J44" s="150"/>
      <c r="K44" s="150"/>
      <c r="L44" s="150"/>
      <c r="M44" s="64"/>
      <c r="N44" s="65"/>
      <c r="O44" s="64"/>
      <c r="P44" s="64"/>
      <c r="Q44" s="64"/>
      <c r="R44" s="64"/>
      <c r="S44" s="64"/>
      <c r="T44" s="64"/>
      <c r="U44" s="64"/>
      <c r="V44" s="64"/>
      <c r="W44" s="64"/>
      <c r="X44" s="64"/>
    </row>
    <row r="45" spans="1:107" ht="43.5" customHeight="1">
      <c r="A45" s="150" t="s">
        <v>435</v>
      </c>
      <c r="B45" s="150"/>
      <c r="C45" s="150"/>
      <c r="D45" s="150"/>
      <c r="E45" s="150"/>
      <c r="F45" s="150"/>
      <c r="G45" s="150"/>
      <c r="H45" s="150"/>
      <c r="I45" s="150"/>
      <c r="J45" s="150"/>
      <c r="K45" s="150"/>
      <c r="L45" s="150"/>
      <c r="M45" s="64"/>
      <c r="N45" s="129"/>
      <c r="O45" s="129"/>
      <c r="P45" s="64"/>
      <c r="Q45" s="64"/>
      <c r="R45" s="64"/>
      <c r="S45" s="64"/>
      <c r="T45" s="64"/>
      <c r="U45" s="64"/>
      <c r="V45" s="64"/>
      <c r="W45" s="64"/>
      <c r="X45" s="64"/>
    </row>
    <row r="46" spans="1:107" ht="42.75" customHeight="1">
      <c r="A46" s="150" t="s">
        <v>436</v>
      </c>
      <c r="B46" s="150"/>
      <c r="C46" s="150"/>
      <c r="D46" s="150"/>
      <c r="E46" s="150"/>
      <c r="F46" s="150"/>
      <c r="G46" s="150"/>
      <c r="H46" s="150"/>
      <c r="I46" s="150"/>
      <c r="J46" s="150"/>
      <c r="K46" s="150"/>
      <c r="L46" s="150"/>
      <c r="M46" s="64"/>
      <c r="N46" s="129"/>
      <c r="O46" s="129"/>
      <c r="P46" s="129"/>
      <c r="Q46" s="129"/>
      <c r="R46" s="129"/>
      <c r="S46" s="129"/>
      <c r="T46" s="129"/>
      <c r="U46" s="129"/>
      <c r="V46" s="64"/>
      <c r="W46" s="64"/>
      <c r="X46" s="64"/>
    </row>
    <row r="47" spans="1:107" ht="63" customHeight="1">
      <c r="A47" s="150" t="s">
        <v>437</v>
      </c>
      <c r="B47" s="150"/>
      <c r="C47" s="150"/>
      <c r="D47" s="150"/>
      <c r="E47" s="150"/>
      <c r="F47" s="150"/>
      <c r="G47" s="150"/>
      <c r="H47" s="150"/>
      <c r="I47" s="150"/>
      <c r="J47" s="150"/>
      <c r="K47" s="150"/>
      <c r="L47" s="150"/>
      <c r="M47" s="64"/>
      <c r="N47" s="64"/>
      <c r="O47" s="64"/>
      <c r="P47" s="129"/>
      <c r="Q47" s="129"/>
      <c r="R47" s="129"/>
      <c r="S47" s="129"/>
      <c r="T47" s="129"/>
      <c r="U47" s="129"/>
      <c r="V47" s="64"/>
      <c r="W47" s="64"/>
      <c r="X47" s="64"/>
    </row>
    <row r="48" spans="1:107" ht="24" customHeight="1" thickBot="1">
      <c r="M48" s="64"/>
      <c r="N48" s="64"/>
      <c r="O48" s="64"/>
      <c r="P48" s="64"/>
      <c r="Q48" s="64"/>
      <c r="R48" s="64"/>
      <c r="S48" s="64"/>
      <c r="T48" s="64"/>
      <c r="U48" s="64"/>
      <c r="V48" s="64"/>
      <c r="W48" s="64"/>
      <c r="X48" s="64"/>
    </row>
    <row r="49" spans="1:107" ht="20.25" thickBot="1">
      <c r="A49" s="67" t="s">
        <v>438</v>
      </c>
      <c r="M49" s="64"/>
      <c r="N49" s="64"/>
      <c r="O49" s="64"/>
      <c r="P49" s="64"/>
      <c r="Q49" s="64"/>
      <c r="R49" s="64"/>
      <c r="S49" s="64"/>
      <c r="T49" s="64"/>
      <c r="U49" s="64"/>
      <c r="V49" s="64"/>
      <c r="W49" s="64"/>
      <c r="X49" s="64"/>
    </row>
    <row r="50" spans="1:107" ht="15.75" thickBot="1">
      <c r="A50" s="132" t="s">
        <v>1</v>
      </c>
      <c r="B50" s="132" t="s">
        <v>577</v>
      </c>
      <c r="C50" s="132" t="s">
        <v>578</v>
      </c>
      <c r="D50" s="132" t="s">
        <v>579</v>
      </c>
      <c r="E50" s="132" t="s">
        <v>580</v>
      </c>
      <c r="F50" s="132" t="s">
        <v>581</v>
      </c>
      <c r="G50" s="132" t="s">
        <v>582</v>
      </c>
      <c r="H50" s="132" t="s">
        <v>583</v>
      </c>
      <c r="I50" s="132" t="s">
        <v>584</v>
      </c>
      <c r="J50" s="132" t="s">
        <v>585</v>
      </c>
      <c r="K50" s="132" t="s">
        <v>586</v>
      </c>
      <c r="L50" s="132" t="s">
        <v>5</v>
      </c>
      <c r="M50" s="66" t="s">
        <v>427</v>
      </c>
      <c r="N50" s="66" t="s">
        <v>7</v>
      </c>
      <c r="O50" s="66" t="s">
        <v>428</v>
      </c>
      <c r="P50" s="64"/>
      <c r="Q50" s="64"/>
      <c r="R50" s="64"/>
      <c r="S50" s="64"/>
      <c r="T50" s="64"/>
      <c r="U50" s="64"/>
      <c r="V50" s="64"/>
      <c r="W50" s="64"/>
      <c r="X50" s="64"/>
    </row>
    <row r="51" spans="1:107" customFormat="1" ht="15.75" thickBot="1">
      <c r="A51" s="3" t="s">
        <v>8</v>
      </c>
      <c r="B51" s="103">
        <v>50</v>
      </c>
      <c r="C51" s="104">
        <v>50</v>
      </c>
      <c r="D51" s="103">
        <v>50</v>
      </c>
      <c r="E51" s="104">
        <v>50</v>
      </c>
      <c r="F51" s="103">
        <v>50</v>
      </c>
      <c r="G51" s="104">
        <v>50</v>
      </c>
      <c r="H51" s="103">
        <v>50</v>
      </c>
      <c r="I51" s="104">
        <v>50</v>
      </c>
      <c r="J51" s="103">
        <v>50</v>
      </c>
      <c r="K51" s="104">
        <v>50</v>
      </c>
      <c r="L51" s="59" t="s">
        <v>13</v>
      </c>
      <c r="M51" s="60" t="s">
        <v>429</v>
      </c>
      <c r="N51" s="59" t="s">
        <v>15</v>
      </c>
      <c r="O51" s="60" t="s">
        <v>430</v>
      </c>
      <c r="P51" s="99"/>
      <c r="Q51" s="99"/>
      <c r="R51" s="99"/>
      <c r="S51" s="99"/>
      <c r="T51" s="99"/>
      <c r="U51" s="99"/>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row>
    <row r="52" spans="1:107" customFormat="1" ht="15.75" thickBot="1">
      <c r="A52" s="3" t="s">
        <v>104</v>
      </c>
      <c r="B52" s="103">
        <v>0</v>
      </c>
      <c r="C52" s="104">
        <v>210</v>
      </c>
      <c r="D52" s="103">
        <v>210</v>
      </c>
      <c r="E52" s="104">
        <v>210</v>
      </c>
      <c r="F52" s="103">
        <v>210</v>
      </c>
      <c r="G52" s="104">
        <v>210</v>
      </c>
      <c r="H52" s="103">
        <v>210</v>
      </c>
      <c r="I52" s="104">
        <v>210</v>
      </c>
      <c r="J52" s="103">
        <v>210</v>
      </c>
      <c r="K52" s="104">
        <v>210</v>
      </c>
      <c r="L52" s="59" t="s">
        <v>13</v>
      </c>
      <c r="M52" s="60" t="s">
        <v>429</v>
      </c>
      <c r="N52" s="59" t="s">
        <v>15</v>
      </c>
      <c r="O52" s="60" t="s">
        <v>430</v>
      </c>
      <c r="P52" s="99"/>
      <c r="Q52" s="99"/>
      <c r="R52" s="99"/>
      <c r="S52" s="99"/>
      <c r="T52" s="99"/>
      <c r="U52" s="99"/>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row>
    <row r="53" spans="1:107" customFormat="1" ht="15.75" thickBot="1">
      <c r="A53" s="3" t="s">
        <v>34</v>
      </c>
      <c r="B53" s="103">
        <v>112</v>
      </c>
      <c r="C53" s="104">
        <v>112</v>
      </c>
      <c r="D53" s="103">
        <v>112</v>
      </c>
      <c r="E53" s="104">
        <v>112</v>
      </c>
      <c r="F53" s="103">
        <v>112</v>
      </c>
      <c r="G53" s="104">
        <v>112</v>
      </c>
      <c r="H53" s="103">
        <v>112</v>
      </c>
      <c r="I53" s="104">
        <v>112</v>
      </c>
      <c r="J53" s="103">
        <v>112</v>
      </c>
      <c r="K53" s="104">
        <v>112</v>
      </c>
      <c r="L53" s="59" t="s">
        <v>13</v>
      </c>
      <c r="M53" s="60" t="s">
        <v>429</v>
      </c>
      <c r="N53" s="59" t="s">
        <v>15</v>
      </c>
      <c r="O53" s="60" t="s">
        <v>430</v>
      </c>
      <c r="P53" s="99"/>
      <c r="Q53" s="99"/>
      <c r="R53" s="99"/>
      <c r="S53" s="99"/>
      <c r="T53" s="99"/>
      <c r="U53" s="99"/>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row>
    <row r="54" spans="1:107" customFormat="1" ht="15.75" thickBot="1">
      <c r="A54" s="3" t="s">
        <v>228</v>
      </c>
      <c r="B54" s="103">
        <v>30</v>
      </c>
      <c r="C54" s="104">
        <v>30</v>
      </c>
      <c r="D54" s="103">
        <v>30</v>
      </c>
      <c r="E54" s="104">
        <v>30</v>
      </c>
      <c r="F54" s="103">
        <v>30</v>
      </c>
      <c r="G54" s="104">
        <v>30</v>
      </c>
      <c r="H54" s="103">
        <v>30</v>
      </c>
      <c r="I54" s="104">
        <v>30</v>
      </c>
      <c r="J54" s="103">
        <v>30</v>
      </c>
      <c r="K54" s="104">
        <v>30</v>
      </c>
      <c r="L54" s="59" t="s">
        <v>13</v>
      </c>
      <c r="M54" s="60" t="s">
        <v>17</v>
      </c>
      <c r="N54" s="59" t="s">
        <v>15</v>
      </c>
      <c r="O54" s="60" t="s">
        <v>430</v>
      </c>
      <c r="P54" s="99"/>
      <c r="Q54" s="99"/>
      <c r="R54" s="99"/>
      <c r="S54" s="99"/>
      <c r="T54" s="99"/>
      <c r="U54" s="99"/>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row>
    <row r="55" spans="1:107" customFormat="1" ht="15.75" thickBot="1">
      <c r="A55" s="3" t="s">
        <v>43</v>
      </c>
      <c r="B55" s="103">
        <v>193</v>
      </c>
      <c r="C55" s="104">
        <v>193</v>
      </c>
      <c r="D55" s="103">
        <v>193</v>
      </c>
      <c r="E55" s="104">
        <v>193</v>
      </c>
      <c r="F55" s="103">
        <v>193</v>
      </c>
      <c r="G55" s="104">
        <v>193</v>
      </c>
      <c r="H55" s="103">
        <v>193</v>
      </c>
      <c r="I55" s="104">
        <v>193</v>
      </c>
      <c r="J55" s="103">
        <v>193</v>
      </c>
      <c r="K55" s="104">
        <v>193</v>
      </c>
      <c r="L55" s="59" t="s">
        <v>13</v>
      </c>
      <c r="M55" s="60" t="s">
        <v>429</v>
      </c>
      <c r="N55" s="59" t="s">
        <v>15</v>
      </c>
      <c r="O55" s="60" t="s">
        <v>430</v>
      </c>
      <c r="P55" s="99"/>
      <c r="Q55" s="99"/>
      <c r="R55" s="99"/>
      <c r="S55" s="99"/>
      <c r="T55" s="99"/>
      <c r="U55" s="99"/>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row>
    <row r="56" spans="1:107" customFormat="1" ht="15.75" thickBot="1">
      <c r="A56" s="3" t="s">
        <v>432</v>
      </c>
      <c r="B56" s="103">
        <v>0</v>
      </c>
      <c r="C56" s="104">
        <v>0</v>
      </c>
      <c r="D56" s="103">
        <v>0</v>
      </c>
      <c r="E56" s="104">
        <v>0</v>
      </c>
      <c r="F56" s="103">
        <v>0</v>
      </c>
      <c r="G56" s="104">
        <v>0</v>
      </c>
      <c r="H56" s="103">
        <v>0</v>
      </c>
      <c r="I56" s="104">
        <v>0</v>
      </c>
      <c r="J56" s="103">
        <v>0</v>
      </c>
      <c r="K56" s="104">
        <v>0</v>
      </c>
      <c r="L56" s="59" t="s">
        <v>13</v>
      </c>
      <c r="M56" s="60" t="s">
        <v>429</v>
      </c>
      <c r="N56" s="59" t="s">
        <v>15</v>
      </c>
      <c r="O56" s="60" t="s">
        <v>430</v>
      </c>
      <c r="P56" s="99"/>
      <c r="Q56" s="99"/>
      <c r="R56" s="99"/>
      <c r="S56" s="99"/>
      <c r="T56" s="99"/>
      <c r="U56" s="99"/>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row>
    <row r="57" spans="1:107" customFormat="1" ht="15.75" thickBot="1">
      <c r="A57" s="3" t="s">
        <v>52</v>
      </c>
      <c r="B57" s="103">
        <v>100</v>
      </c>
      <c r="C57" s="104">
        <v>100</v>
      </c>
      <c r="D57" s="103">
        <v>100</v>
      </c>
      <c r="E57" s="104">
        <v>100</v>
      </c>
      <c r="F57" s="103">
        <v>100</v>
      </c>
      <c r="G57" s="104">
        <v>100</v>
      </c>
      <c r="H57" s="103">
        <v>100</v>
      </c>
      <c r="I57" s="104">
        <v>100</v>
      </c>
      <c r="J57" s="103">
        <v>100</v>
      </c>
      <c r="K57" s="104">
        <v>100</v>
      </c>
      <c r="L57" s="59" t="s">
        <v>13</v>
      </c>
      <c r="M57" s="60" t="s">
        <v>433</v>
      </c>
      <c r="N57" s="59" t="s">
        <v>15</v>
      </c>
      <c r="O57" s="60" t="s">
        <v>430</v>
      </c>
      <c r="P57" s="99"/>
      <c r="Q57" s="99"/>
      <c r="R57" s="99"/>
      <c r="S57" s="99"/>
      <c r="T57" s="99"/>
      <c r="U57" s="99"/>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row>
    <row r="58" spans="1:107" customFormat="1" ht="15.75" thickBot="1">
      <c r="A58" s="3" t="s">
        <v>63</v>
      </c>
      <c r="B58" s="103">
        <v>68</v>
      </c>
      <c r="C58" s="104">
        <v>68</v>
      </c>
      <c r="D58" s="103">
        <v>68</v>
      </c>
      <c r="E58" s="104">
        <v>68</v>
      </c>
      <c r="F58" s="103">
        <v>68</v>
      </c>
      <c r="G58" s="104">
        <v>68</v>
      </c>
      <c r="H58" s="103">
        <v>68</v>
      </c>
      <c r="I58" s="104">
        <v>68</v>
      </c>
      <c r="J58" s="103">
        <v>68</v>
      </c>
      <c r="K58" s="104">
        <v>68</v>
      </c>
      <c r="L58" s="59" t="s">
        <v>13</v>
      </c>
      <c r="M58" s="60" t="s">
        <v>429</v>
      </c>
      <c r="N58" s="59" t="s">
        <v>15</v>
      </c>
      <c r="O58" s="60" t="s">
        <v>430</v>
      </c>
      <c r="P58" s="99"/>
      <c r="Q58" s="99"/>
      <c r="R58" s="99"/>
      <c r="S58" s="99"/>
      <c r="T58" s="99"/>
      <c r="U58" s="99"/>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row>
    <row r="59" spans="1:107" customFormat="1" ht="15.75" thickBot="1">
      <c r="A59" s="3" t="s">
        <v>71</v>
      </c>
      <c r="B59" s="103">
        <v>20.7</v>
      </c>
      <c r="C59" s="104">
        <v>20.7</v>
      </c>
      <c r="D59" s="103">
        <v>20.7</v>
      </c>
      <c r="E59" s="104">
        <v>20.7</v>
      </c>
      <c r="F59" s="103">
        <v>20.7</v>
      </c>
      <c r="G59" s="104">
        <v>20.7</v>
      </c>
      <c r="H59" s="103">
        <v>20.7</v>
      </c>
      <c r="I59" s="104">
        <v>20.7</v>
      </c>
      <c r="J59" s="103">
        <v>20.7</v>
      </c>
      <c r="K59" s="104">
        <v>20.7</v>
      </c>
      <c r="L59" s="59" t="s">
        <v>13</v>
      </c>
      <c r="M59" s="60" t="s">
        <v>429</v>
      </c>
      <c r="N59" s="59" t="s">
        <v>15</v>
      </c>
      <c r="O59" s="60" t="s">
        <v>430</v>
      </c>
      <c r="P59" s="99"/>
      <c r="Q59" s="99"/>
      <c r="R59" s="99"/>
      <c r="S59" s="99"/>
      <c r="T59" s="99"/>
      <c r="U59" s="99"/>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row>
    <row r="60" spans="1:107" customFormat="1" ht="15.75" thickBot="1">
      <c r="A60" s="3" t="s">
        <v>73</v>
      </c>
      <c r="B60" s="103">
        <v>68</v>
      </c>
      <c r="C60" s="104">
        <v>68</v>
      </c>
      <c r="D60" s="103">
        <v>68</v>
      </c>
      <c r="E60" s="104">
        <v>68</v>
      </c>
      <c r="F60" s="103">
        <v>68</v>
      </c>
      <c r="G60" s="104">
        <v>68</v>
      </c>
      <c r="H60" s="103">
        <v>68</v>
      </c>
      <c r="I60" s="104">
        <v>68</v>
      </c>
      <c r="J60" s="103">
        <v>68</v>
      </c>
      <c r="K60" s="104">
        <v>68</v>
      </c>
      <c r="L60" s="59" t="s">
        <v>13</v>
      </c>
      <c r="M60" s="60" t="s">
        <v>429</v>
      </c>
      <c r="N60" s="59" t="s">
        <v>15</v>
      </c>
      <c r="O60" s="60" t="s">
        <v>430</v>
      </c>
      <c r="P60" s="99"/>
      <c r="Q60" s="99"/>
      <c r="R60" s="99"/>
      <c r="S60" s="99"/>
      <c r="T60" s="99"/>
      <c r="U60" s="99"/>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row>
    <row r="61" spans="1:107" customFormat="1" ht="15.75" thickBot="1">
      <c r="A61" s="3" t="s">
        <v>75</v>
      </c>
      <c r="B61" s="103">
        <v>172</v>
      </c>
      <c r="C61" s="104">
        <v>172</v>
      </c>
      <c r="D61" s="103">
        <v>172</v>
      </c>
      <c r="E61" s="104">
        <v>172</v>
      </c>
      <c r="F61" s="103">
        <v>172</v>
      </c>
      <c r="G61" s="104">
        <v>172</v>
      </c>
      <c r="H61" s="103">
        <v>172</v>
      </c>
      <c r="I61" s="104">
        <v>172</v>
      </c>
      <c r="J61" s="103">
        <v>172</v>
      </c>
      <c r="K61" s="104">
        <v>172</v>
      </c>
      <c r="L61" s="59" t="s">
        <v>13</v>
      </c>
      <c r="M61" s="60" t="s">
        <v>429</v>
      </c>
      <c r="N61" s="59" t="s">
        <v>15</v>
      </c>
      <c r="O61" s="60" t="s">
        <v>430</v>
      </c>
      <c r="P61" s="99"/>
      <c r="Q61" s="99"/>
      <c r="R61" s="99"/>
      <c r="S61" s="99"/>
      <c r="T61" s="99"/>
      <c r="U61" s="99"/>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row>
    <row r="62" spans="1:107" customFormat="1" ht="15.75" thickBot="1">
      <c r="A62" s="3" t="s">
        <v>78</v>
      </c>
      <c r="B62" s="103">
        <v>458</v>
      </c>
      <c r="C62" s="104">
        <v>458</v>
      </c>
      <c r="D62" s="103">
        <v>458</v>
      </c>
      <c r="E62" s="104">
        <v>458</v>
      </c>
      <c r="F62" s="103">
        <v>458</v>
      </c>
      <c r="G62" s="104">
        <v>458</v>
      </c>
      <c r="H62" s="103">
        <v>458</v>
      </c>
      <c r="I62" s="104">
        <v>458</v>
      </c>
      <c r="J62" s="103">
        <v>458</v>
      </c>
      <c r="K62" s="104">
        <v>458</v>
      </c>
      <c r="L62" s="59" t="s">
        <v>13</v>
      </c>
      <c r="M62" s="60" t="s">
        <v>429</v>
      </c>
      <c r="N62" s="59" t="s">
        <v>15</v>
      </c>
      <c r="O62" s="60" t="s">
        <v>430</v>
      </c>
      <c r="P62" s="99"/>
      <c r="Q62" s="99"/>
      <c r="R62" s="99"/>
      <c r="S62" s="99"/>
      <c r="T62" s="99"/>
      <c r="U62" s="99"/>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row>
    <row r="63" spans="1:107" customFormat="1" ht="15.75" thickBot="1">
      <c r="A63" s="3" t="s">
        <v>81</v>
      </c>
      <c r="B63" s="103">
        <v>56</v>
      </c>
      <c r="C63" s="104">
        <v>56</v>
      </c>
      <c r="D63" s="103">
        <v>56</v>
      </c>
      <c r="E63" s="104">
        <v>56</v>
      </c>
      <c r="F63" s="103">
        <v>56</v>
      </c>
      <c r="G63" s="104">
        <v>56</v>
      </c>
      <c r="H63" s="103">
        <v>56</v>
      </c>
      <c r="I63" s="104">
        <v>56</v>
      </c>
      <c r="J63" s="103">
        <v>56</v>
      </c>
      <c r="K63" s="104">
        <v>56</v>
      </c>
      <c r="L63" s="59" t="s">
        <v>13</v>
      </c>
      <c r="M63" s="60" t="s">
        <v>429</v>
      </c>
      <c r="N63" s="59" t="s">
        <v>15</v>
      </c>
      <c r="O63" s="60" t="s">
        <v>430</v>
      </c>
      <c r="P63" s="99"/>
      <c r="Q63" s="99"/>
      <c r="R63" s="99"/>
      <c r="S63" s="99"/>
      <c r="T63" s="99"/>
      <c r="U63" s="99"/>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row>
    <row r="64" spans="1:107" customFormat="1" ht="15.75" thickBot="1">
      <c r="A64" s="3" t="s">
        <v>83</v>
      </c>
      <c r="B64" s="103">
        <v>57.6</v>
      </c>
      <c r="C64" s="104">
        <v>57.6</v>
      </c>
      <c r="D64" s="103">
        <v>57.6</v>
      </c>
      <c r="E64" s="104">
        <v>57.6</v>
      </c>
      <c r="F64" s="103">
        <v>57.6</v>
      </c>
      <c r="G64" s="104">
        <v>57.6</v>
      </c>
      <c r="H64" s="103">
        <v>57.6</v>
      </c>
      <c r="I64" s="104">
        <v>57.6</v>
      </c>
      <c r="J64" s="103">
        <v>57.6</v>
      </c>
      <c r="K64" s="104">
        <v>57.6</v>
      </c>
      <c r="L64" s="59" t="s">
        <v>13</v>
      </c>
      <c r="M64" s="60" t="s">
        <v>429</v>
      </c>
      <c r="N64" s="59" t="s">
        <v>15</v>
      </c>
      <c r="O64" s="60" t="s">
        <v>430</v>
      </c>
      <c r="P64" s="99"/>
      <c r="Q64" s="99"/>
      <c r="R64" s="99"/>
      <c r="S64" s="99"/>
      <c r="T64" s="99"/>
      <c r="U64" s="99"/>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row>
    <row r="65" spans="1:107" customFormat="1" ht="15.75" thickBot="1">
      <c r="A65" s="3" t="s">
        <v>85</v>
      </c>
      <c r="B65" s="103">
        <v>189</v>
      </c>
      <c r="C65" s="104">
        <v>189</v>
      </c>
      <c r="D65" s="103">
        <v>189</v>
      </c>
      <c r="E65" s="104">
        <v>189</v>
      </c>
      <c r="F65" s="103">
        <v>189</v>
      </c>
      <c r="G65" s="104">
        <v>189</v>
      </c>
      <c r="H65" s="103">
        <v>189</v>
      </c>
      <c r="I65" s="104">
        <v>189</v>
      </c>
      <c r="J65" s="103">
        <v>189</v>
      </c>
      <c r="K65" s="104">
        <v>189</v>
      </c>
      <c r="L65" s="59" t="s">
        <v>13</v>
      </c>
      <c r="M65" s="60" t="s">
        <v>429</v>
      </c>
      <c r="N65" s="59" t="s">
        <v>15</v>
      </c>
      <c r="O65" s="60" t="s">
        <v>430</v>
      </c>
      <c r="P65" s="99"/>
      <c r="Q65" s="99"/>
      <c r="R65" s="99"/>
      <c r="S65" s="99"/>
      <c r="T65" s="99"/>
      <c r="U65" s="99"/>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row>
    <row r="66" spans="1:107" customFormat="1" ht="15.75" thickBot="1">
      <c r="A66" s="3" t="s">
        <v>91</v>
      </c>
      <c r="B66" s="103">
        <v>54</v>
      </c>
      <c r="C66" s="104">
        <v>54</v>
      </c>
      <c r="D66" s="103">
        <v>54</v>
      </c>
      <c r="E66" s="104">
        <v>54</v>
      </c>
      <c r="F66" s="103">
        <v>54</v>
      </c>
      <c r="G66" s="104">
        <v>54</v>
      </c>
      <c r="H66" s="103">
        <v>54</v>
      </c>
      <c r="I66" s="104">
        <v>54</v>
      </c>
      <c r="J66" s="103">
        <v>54</v>
      </c>
      <c r="K66" s="104">
        <v>54</v>
      </c>
      <c r="L66" s="59" t="s">
        <v>13</v>
      </c>
      <c r="M66" s="60" t="s">
        <v>429</v>
      </c>
      <c r="N66" s="59" t="s">
        <v>15</v>
      </c>
      <c r="O66" s="60" t="s">
        <v>430</v>
      </c>
      <c r="P66" s="99"/>
      <c r="Q66" s="99"/>
      <c r="R66" s="99"/>
      <c r="S66" s="99"/>
      <c r="T66" s="99"/>
      <c r="U66" s="99"/>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row>
    <row r="67" spans="1:107" customFormat="1" ht="15.75" thickBot="1">
      <c r="A67" s="3" t="s">
        <v>502</v>
      </c>
      <c r="B67" s="103">
        <v>118.63500000000001</v>
      </c>
      <c r="C67" s="104">
        <v>118.63500000000001</v>
      </c>
      <c r="D67" s="103">
        <v>0</v>
      </c>
      <c r="E67" s="104">
        <v>0</v>
      </c>
      <c r="F67" s="103">
        <v>0</v>
      </c>
      <c r="G67" s="104">
        <v>0</v>
      </c>
      <c r="H67" s="103">
        <v>0</v>
      </c>
      <c r="I67" s="104">
        <v>0</v>
      </c>
      <c r="J67" s="103">
        <v>0</v>
      </c>
      <c r="K67" s="104">
        <v>0</v>
      </c>
      <c r="L67" s="59" t="s">
        <v>13</v>
      </c>
      <c r="M67" s="60" t="s">
        <v>429</v>
      </c>
      <c r="N67" s="59" t="s">
        <v>15</v>
      </c>
      <c r="O67" s="60" t="s">
        <v>430</v>
      </c>
      <c r="P67" s="99"/>
      <c r="Q67" s="99"/>
      <c r="R67" s="99"/>
      <c r="S67" s="99"/>
      <c r="T67" s="99"/>
      <c r="U67" s="99"/>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row>
    <row r="68" spans="1:107" customFormat="1" ht="15.75" thickBot="1">
      <c r="A68" s="3" t="s">
        <v>503</v>
      </c>
      <c r="B68" s="103">
        <v>96.14</v>
      </c>
      <c r="C68" s="104">
        <v>96.14</v>
      </c>
      <c r="D68" s="103">
        <v>0</v>
      </c>
      <c r="E68" s="104">
        <v>0</v>
      </c>
      <c r="F68" s="103">
        <v>0</v>
      </c>
      <c r="G68" s="104">
        <v>0</v>
      </c>
      <c r="H68" s="103">
        <v>0</v>
      </c>
      <c r="I68" s="104">
        <v>0</v>
      </c>
      <c r="J68" s="103">
        <v>0</v>
      </c>
      <c r="K68" s="104">
        <v>0</v>
      </c>
      <c r="L68" s="59" t="s">
        <v>13</v>
      </c>
      <c r="M68" s="60" t="s">
        <v>429</v>
      </c>
      <c r="N68" s="59" t="s">
        <v>15</v>
      </c>
      <c r="O68" s="60" t="s">
        <v>430</v>
      </c>
      <c r="P68" s="99"/>
      <c r="Q68" s="99"/>
      <c r="R68" s="99"/>
      <c r="S68" s="99"/>
      <c r="T68" s="99"/>
      <c r="U68" s="99"/>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row>
    <row r="69" spans="1:107" customFormat="1" ht="15.75" thickBot="1">
      <c r="A69" s="3" t="s">
        <v>96</v>
      </c>
      <c r="B69" s="103">
        <v>480</v>
      </c>
      <c r="C69" s="104">
        <v>240</v>
      </c>
      <c r="D69" s="103">
        <v>120</v>
      </c>
      <c r="E69" s="104">
        <v>0</v>
      </c>
      <c r="F69" s="103">
        <v>0</v>
      </c>
      <c r="G69" s="104">
        <v>0</v>
      </c>
      <c r="H69" s="103">
        <v>0</v>
      </c>
      <c r="I69" s="104">
        <v>0</v>
      </c>
      <c r="J69" s="103">
        <v>0</v>
      </c>
      <c r="K69" s="104">
        <v>0</v>
      </c>
      <c r="L69" s="59" t="s">
        <v>13</v>
      </c>
      <c r="M69" s="60" t="s">
        <v>429</v>
      </c>
      <c r="N69" s="59" t="s">
        <v>15</v>
      </c>
      <c r="O69" s="60" t="s">
        <v>430</v>
      </c>
      <c r="P69" s="99"/>
      <c r="Q69" s="99"/>
      <c r="R69" s="99"/>
      <c r="S69" s="99"/>
      <c r="T69" s="99"/>
      <c r="U69" s="99"/>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row>
    <row r="70" spans="1:107" customFormat="1" ht="15.75" thickBot="1">
      <c r="A70" s="3" t="s">
        <v>97</v>
      </c>
      <c r="B70" s="103">
        <v>780</v>
      </c>
      <c r="C70" s="104">
        <v>780</v>
      </c>
      <c r="D70" s="103">
        <v>780</v>
      </c>
      <c r="E70" s="104">
        <v>780</v>
      </c>
      <c r="F70" s="103">
        <v>780</v>
      </c>
      <c r="G70" s="104">
        <v>780</v>
      </c>
      <c r="H70" s="103">
        <v>780</v>
      </c>
      <c r="I70" s="104">
        <v>780</v>
      </c>
      <c r="J70" s="103">
        <v>780</v>
      </c>
      <c r="K70" s="104">
        <v>780</v>
      </c>
      <c r="L70" s="59" t="s">
        <v>13</v>
      </c>
      <c r="M70" s="60" t="s">
        <v>429</v>
      </c>
      <c r="N70" s="59" t="s">
        <v>15</v>
      </c>
      <c r="O70" s="60" t="s">
        <v>430</v>
      </c>
      <c r="P70" s="99"/>
      <c r="Q70" s="99"/>
      <c r="R70" s="99"/>
      <c r="S70" s="99"/>
      <c r="T70" s="99"/>
      <c r="U70" s="99"/>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row>
    <row r="71" spans="1:107" customFormat="1" ht="15.75" thickBot="1">
      <c r="A71" s="99"/>
      <c r="B71" s="105"/>
      <c r="C71" s="105"/>
      <c r="D71" s="105"/>
      <c r="E71" s="105"/>
      <c r="F71" s="105"/>
      <c r="G71" s="105"/>
      <c r="H71" s="105"/>
      <c r="I71" s="105"/>
      <c r="J71" s="105"/>
      <c r="K71" s="105"/>
      <c r="L71" s="99"/>
      <c r="M71" s="99"/>
      <c r="N71" s="99"/>
      <c r="O71" s="99"/>
      <c r="P71" s="99"/>
      <c r="Q71" s="99"/>
      <c r="R71" s="99"/>
      <c r="S71" s="99"/>
      <c r="T71" s="99"/>
      <c r="U71" s="99"/>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row>
    <row r="72" spans="1:107" ht="15.75" thickBot="1">
      <c r="A72" s="3" t="s">
        <v>439</v>
      </c>
      <c r="B72" s="106">
        <f>SUMIF(sumcapsSStable[[FuelType]:[FuelType]],"Wind",sumcapsSStable[2018-19]) * 0.094</f>
        <v>131.5342</v>
      </c>
      <c r="C72" s="106">
        <f>SUMIF(sumcapsSStable[[FuelType]:[FuelType]],"Wind",sumcapsSStable[2019-20]) * 0.094</f>
        <v>143.37819999999999</v>
      </c>
      <c r="D72" s="106">
        <f>SUMIF(sumcapsSStable[[FuelType]:[FuelType]],"Wind",sumcapsSStable[2020-21]) * 0.094</f>
        <v>143.37819999999999</v>
      </c>
      <c r="E72" s="106">
        <f>SUMIF(sumcapsSStable[[FuelType]:[FuelType]],"Wind",sumcapsSStable[2021-22]) * 0.094</f>
        <v>143.37819999999999</v>
      </c>
      <c r="F72" s="106">
        <f>SUMIF(sumcapsSStable[[FuelType]:[FuelType]],"Wind",sumcapsSStable[2022-23]) * 0.094</f>
        <v>143.37819999999999</v>
      </c>
      <c r="G72" s="106">
        <f>SUMIF(sumcapsSStable[[FuelType]:[FuelType]],"Wind",sumcapsSStable[2023-24]) * 0.094</f>
        <v>143.37819999999999</v>
      </c>
      <c r="H72" s="106">
        <f>SUMIF(sumcapsSStable[[FuelType]:[FuelType]],"Wind",sumcapsSStable[2024-25]) * 0.094</f>
        <v>143.37819999999999</v>
      </c>
      <c r="I72" s="106">
        <f>SUMIF(sumcapsSStable[[FuelType]:[FuelType]],"Wind",sumcapsSStable[2025-26]) * 0.094</f>
        <v>143.37819999999999</v>
      </c>
      <c r="J72" s="106">
        <f>SUMIF(sumcapsSStable[[FuelType]:[FuelType]],"Wind",sumcapsSStable[2026-27]) * 0.094</f>
        <v>143.37819999999999</v>
      </c>
      <c r="K72" s="106">
        <f>SUMIF(sumcapsSStable[[FuelType]:[FuelType]],"Wind",sumcapsSStable[2027-28]) * 0.094</f>
        <v>143.37819999999999</v>
      </c>
      <c r="L72" s="59" t="s">
        <v>18</v>
      </c>
      <c r="M72" s="64"/>
      <c r="N72" s="63"/>
      <c r="O72" s="64"/>
    </row>
    <row r="73" spans="1:107" s="57" customFormat="1" ht="15.75" thickBot="1">
      <c r="A73" s="3" t="s">
        <v>440</v>
      </c>
      <c r="B73" s="103" t="s">
        <v>441</v>
      </c>
      <c r="C73" s="104" t="s">
        <v>441</v>
      </c>
      <c r="D73" s="103" t="s">
        <v>441</v>
      </c>
      <c r="E73" s="104" t="s">
        <v>441</v>
      </c>
      <c r="F73" s="103" t="s">
        <v>441</v>
      </c>
      <c r="G73" s="104" t="s">
        <v>441</v>
      </c>
      <c r="H73" s="103" t="s">
        <v>441</v>
      </c>
      <c r="I73" s="104" t="s">
        <v>441</v>
      </c>
      <c r="J73" s="103" t="s">
        <v>441</v>
      </c>
      <c r="K73" s="104" t="s">
        <v>441</v>
      </c>
      <c r="L73" s="59" t="s">
        <v>18</v>
      </c>
      <c r="M73" s="63"/>
      <c r="N73" s="63"/>
      <c r="O73" s="64"/>
      <c r="P73" s="64"/>
      <c r="Q73" s="64"/>
      <c r="R73" s="64"/>
      <c r="S73" s="64"/>
      <c r="T73" s="64"/>
      <c r="U73" s="64"/>
      <c r="V73" s="64"/>
      <c r="W73" s="64"/>
      <c r="X73" s="64"/>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row>
    <row r="74" spans="1:107" s="57" customFormat="1" ht="15.75" thickBot="1">
      <c r="A74" s="3" t="s">
        <v>102</v>
      </c>
      <c r="B74" s="106">
        <f>SUM(sumcapsStable[2018-19])+B72</f>
        <v>3234.6091999999999</v>
      </c>
      <c r="C74" s="106">
        <f>SUM(sumcapsStable[2019-20])+C72</f>
        <v>3216.4531999999999</v>
      </c>
      <c r="D74" s="106">
        <f>SUM(sumcapsStable[2020-21])+D72</f>
        <v>2881.6782000000003</v>
      </c>
      <c r="E74" s="106">
        <f>SUM(sumcapsStable[2021-22])+E72</f>
        <v>2761.6782000000003</v>
      </c>
      <c r="F74" s="106">
        <f>SUM(sumcapsStable[2022-23])+F72</f>
        <v>2761.6782000000003</v>
      </c>
      <c r="G74" s="106">
        <f>SUM(sumcapsStable[2023-24])+G72</f>
        <v>2761.6782000000003</v>
      </c>
      <c r="H74" s="106">
        <f>SUM(sumcapsStable[2024-25])+H72</f>
        <v>2761.6782000000003</v>
      </c>
      <c r="I74" s="106">
        <f>SUM(sumcapsStable[2025-26])+I72</f>
        <v>2761.6782000000003</v>
      </c>
      <c r="J74" s="106">
        <f>SUM(sumcapsStable[2026-27])+J72</f>
        <v>2761.6782000000003</v>
      </c>
      <c r="K74" s="106">
        <f>SUM(sumcapsStable[2027-28])+K72</f>
        <v>2761.6782000000003</v>
      </c>
      <c r="L74" s="62"/>
      <c r="M74" s="64"/>
      <c r="N74" s="64"/>
      <c r="O74" s="64"/>
      <c r="P74" s="64"/>
      <c r="Q74" s="64"/>
      <c r="R74" s="64"/>
      <c r="S74" s="64"/>
      <c r="T74" s="64"/>
      <c r="U74" s="64"/>
      <c r="V74" s="64"/>
      <c r="W74" s="64"/>
      <c r="X74" s="64"/>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row>
    <row r="75" spans="1:107" s="57" customFormat="1" ht="15.75" thickBot="1">
      <c r="A75" s="99"/>
      <c r="B75" s="68"/>
      <c r="C75" s="68"/>
      <c r="D75" s="68"/>
      <c r="E75" s="68"/>
      <c r="F75" s="68"/>
      <c r="G75" s="68"/>
      <c r="H75" s="68"/>
      <c r="I75" s="68"/>
      <c r="J75" s="68"/>
      <c r="K75" s="68"/>
      <c r="L75" s="99"/>
      <c r="M75" s="64"/>
      <c r="N75" s="64"/>
      <c r="O75" s="64"/>
      <c r="P75" s="64"/>
      <c r="Q75" s="64"/>
      <c r="R75" s="64"/>
      <c r="S75" s="64"/>
      <c r="T75" s="64"/>
      <c r="U75" s="64"/>
      <c r="V75" s="64"/>
      <c r="W75" s="64"/>
      <c r="X75" s="64"/>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row>
    <row r="76" spans="1:107" ht="20.25" thickBot="1">
      <c r="A76" s="67" t="s">
        <v>442</v>
      </c>
      <c r="M76" s="64"/>
      <c r="N76" s="64"/>
      <c r="O76" s="64"/>
      <c r="P76" s="64"/>
      <c r="Q76" s="64"/>
      <c r="R76" s="64"/>
      <c r="S76" s="64"/>
      <c r="T76" s="64"/>
      <c r="U76" s="64"/>
      <c r="V76" s="64"/>
      <c r="W76" s="64"/>
      <c r="X76" s="64"/>
    </row>
    <row r="77" spans="1:107" ht="15.75" thickBot="1">
      <c r="A77" s="132" t="s">
        <v>1</v>
      </c>
      <c r="B77" s="132" t="s">
        <v>577</v>
      </c>
      <c r="C77" s="132" t="s">
        <v>578</v>
      </c>
      <c r="D77" s="132" t="s">
        <v>579</v>
      </c>
      <c r="E77" s="132" t="s">
        <v>580</v>
      </c>
      <c r="F77" s="132" t="s">
        <v>581</v>
      </c>
      <c r="G77" s="132" t="s">
        <v>582</v>
      </c>
      <c r="H77" s="132" t="s">
        <v>583</v>
      </c>
      <c r="I77" s="132" t="s">
        <v>584</v>
      </c>
      <c r="J77" s="132" t="s">
        <v>585</v>
      </c>
      <c r="K77" s="132" t="s">
        <v>586</v>
      </c>
      <c r="L77" s="132" t="s">
        <v>5</v>
      </c>
      <c r="M77" s="66" t="s">
        <v>427</v>
      </c>
      <c r="N77" s="66" t="s">
        <v>7</v>
      </c>
      <c r="O77" s="66" t="s">
        <v>428</v>
      </c>
      <c r="P77" s="64"/>
      <c r="Q77" s="64"/>
      <c r="R77" s="64"/>
      <c r="S77" s="64"/>
      <c r="T77" s="64"/>
      <c r="U77" s="64"/>
      <c r="V77" s="64"/>
      <c r="W77" s="64"/>
      <c r="X77" s="64"/>
    </row>
    <row r="78" spans="1:107" customFormat="1" ht="15.75" thickBot="1">
      <c r="A78" s="3" t="s">
        <v>219</v>
      </c>
      <c r="B78" s="103">
        <v>110</v>
      </c>
      <c r="C78" s="104">
        <v>110</v>
      </c>
      <c r="D78" s="103">
        <v>110</v>
      </c>
      <c r="E78" s="104">
        <v>110</v>
      </c>
      <c r="F78" s="103">
        <v>110</v>
      </c>
      <c r="G78" s="104">
        <v>110</v>
      </c>
      <c r="H78" s="103">
        <v>110</v>
      </c>
      <c r="I78" s="104">
        <v>110</v>
      </c>
      <c r="J78" s="103">
        <v>110</v>
      </c>
      <c r="K78" s="104">
        <v>110</v>
      </c>
      <c r="L78" s="59" t="s">
        <v>18</v>
      </c>
      <c r="M78" s="60" t="s">
        <v>28</v>
      </c>
      <c r="N78" s="59" t="s">
        <v>15</v>
      </c>
      <c r="O78" s="60" t="s">
        <v>430</v>
      </c>
      <c r="P78" s="99"/>
      <c r="Q78" s="99"/>
      <c r="R78" s="99"/>
      <c r="S78" s="99"/>
      <c r="T78" s="99"/>
      <c r="U78" s="99"/>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row>
    <row r="79" spans="1:107" customFormat="1" ht="15.75" thickBot="1">
      <c r="A79" s="3" t="s">
        <v>222</v>
      </c>
      <c r="B79" s="103">
        <v>110</v>
      </c>
      <c r="C79" s="104">
        <v>110</v>
      </c>
      <c r="D79" s="103">
        <v>110</v>
      </c>
      <c r="E79" s="104">
        <v>110</v>
      </c>
      <c r="F79" s="103">
        <v>110</v>
      </c>
      <c r="G79" s="104">
        <v>110</v>
      </c>
      <c r="H79" s="103">
        <v>110</v>
      </c>
      <c r="I79" s="104">
        <v>110</v>
      </c>
      <c r="J79" s="103">
        <v>110</v>
      </c>
      <c r="K79" s="104">
        <v>110</v>
      </c>
      <c r="L79" s="59" t="s">
        <v>18</v>
      </c>
      <c r="M79" s="60" t="s">
        <v>28</v>
      </c>
      <c r="N79" s="59" t="s">
        <v>15</v>
      </c>
      <c r="O79" s="60" t="s">
        <v>430</v>
      </c>
      <c r="P79" s="99"/>
      <c r="Q79" s="99"/>
      <c r="R79" s="99"/>
      <c r="S79" s="99"/>
      <c r="T79" s="99"/>
      <c r="U79" s="99"/>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row>
    <row r="80" spans="1:107" customFormat="1" ht="15.75" thickBot="1">
      <c r="A80" s="3" t="s">
        <v>571</v>
      </c>
      <c r="B80" s="103">
        <v>56.7</v>
      </c>
      <c r="C80" s="104">
        <v>56.7</v>
      </c>
      <c r="D80" s="103">
        <v>56.7</v>
      </c>
      <c r="E80" s="104">
        <v>56.7</v>
      </c>
      <c r="F80" s="103">
        <v>56.7</v>
      </c>
      <c r="G80" s="104">
        <v>56.7</v>
      </c>
      <c r="H80" s="103">
        <v>56.7</v>
      </c>
      <c r="I80" s="104">
        <v>56.7</v>
      </c>
      <c r="J80" s="103">
        <v>56.7</v>
      </c>
      <c r="K80" s="104">
        <v>56.7</v>
      </c>
      <c r="L80" s="59" t="s">
        <v>18</v>
      </c>
      <c r="M80" s="60" t="s">
        <v>17</v>
      </c>
      <c r="N80" s="59" t="s">
        <v>15</v>
      </c>
      <c r="O80" s="60" t="s">
        <v>430</v>
      </c>
      <c r="P80" s="99"/>
      <c r="Q80" s="99"/>
      <c r="R80" s="99"/>
      <c r="S80" s="99"/>
      <c r="T80" s="99"/>
      <c r="U80" s="99"/>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row>
    <row r="81" spans="1:107" customFormat="1" ht="15.75" thickBot="1">
      <c r="A81" s="3" t="s">
        <v>37</v>
      </c>
      <c r="B81" s="103">
        <v>81.900000000000006</v>
      </c>
      <c r="C81" s="104">
        <v>81.900000000000006</v>
      </c>
      <c r="D81" s="103">
        <v>81.900000000000006</v>
      </c>
      <c r="E81" s="104">
        <v>81.900000000000006</v>
      </c>
      <c r="F81" s="103">
        <v>81.900000000000006</v>
      </c>
      <c r="G81" s="104">
        <v>81.900000000000006</v>
      </c>
      <c r="H81" s="103">
        <v>81.900000000000006</v>
      </c>
      <c r="I81" s="104">
        <v>81.900000000000006</v>
      </c>
      <c r="J81" s="103">
        <v>81.900000000000006</v>
      </c>
      <c r="K81" s="104">
        <v>81.900000000000006</v>
      </c>
      <c r="L81" s="59" t="s">
        <v>18</v>
      </c>
      <c r="M81" s="60" t="s">
        <v>17</v>
      </c>
      <c r="N81" s="59" t="s">
        <v>15</v>
      </c>
      <c r="O81" s="60" t="s">
        <v>430</v>
      </c>
      <c r="P81" s="99"/>
      <c r="Q81" s="99"/>
      <c r="R81" s="99"/>
      <c r="S81" s="99"/>
      <c r="T81" s="99"/>
      <c r="U81" s="99"/>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row>
    <row r="82" spans="1:107" customFormat="1" ht="15.75" thickBot="1">
      <c r="A82" s="3" t="s">
        <v>40</v>
      </c>
      <c r="B82" s="103">
        <v>32.5</v>
      </c>
      <c r="C82" s="104">
        <v>32.5</v>
      </c>
      <c r="D82" s="103">
        <v>32.5</v>
      </c>
      <c r="E82" s="104">
        <v>32.5</v>
      </c>
      <c r="F82" s="103">
        <v>32.5</v>
      </c>
      <c r="G82" s="104">
        <v>32.5</v>
      </c>
      <c r="H82" s="103">
        <v>32.5</v>
      </c>
      <c r="I82" s="104">
        <v>32.5</v>
      </c>
      <c r="J82" s="103">
        <v>32.5</v>
      </c>
      <c r="K82" s="104">
        <v>32.5</v>
      </c>
      <c r="L82" s="59" t="s">
        <v>18</v>
      </c>
      <c r="M82" s="60" t="s">
        <v>17</v>
      </c>
      <c r="N82" s="59" t="s">
        <v>15</v>
      </c>
      <c r="O82" s="60" t="s">
        <v>430</v>
      </c>
      <c r="P82" s="99"/>
      <c r="Q82" s="99"/>
      <c r="R82" s="99"/>
      <c r="S82" s="99"/>
      <c r="T82" s="99"/>
      <c r="U82" s="99"/>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row>
    <row r="83" spans="1:107" customFormat="1" ht="15.75" thickBot="1">
      <c r="A83" s="3" t="s">
        <v>46</v>
      </c>
      <c r="B83" s="103">
        <v>58.5</v>
      </c>
      <c r="C83" s="104">
        <v>58.5</v>
      </c>
      <c r="D83" s="103">
        <v>58.5</v>
      </c>
      <c r="E83" s="104">
        <v>58.5</v>
      </c>
      <c r="F83" s="103">
        <v>58.5</v>
      </c>
      <c r="G83" s="104">
        <v>58.5</v>
      </c>
      <c r="H83" s="103">
        <v>58.5</v>
      </c>
      <c r="I83" s="104">
        <v>58.5</v>
      </c>
      <c r="J83" s="103">
        <v>58.5</v>
      </c>
      <c r="K83" s="104">
        <v>58.5</v>
      </c>
      <c r="L83" s="59" t="s">
        <v>18</v>
      </c>
      <c r="M83" s="60" t="s">
        <v>17</v>
      </c>
      <c r="N83" s="59" t="s">
        <v>15</v>
      </c>
      <c r="O83" s="60" t="s">
        <v>430</v>
      </c>
      <c r="P83" s="99"/>
      <c r="Q83" s="99"/>
      <c r="R83" s="99"/>
      <c r="S83" s="99"/>
      <c r="T83" s="99"/>
      <c r="U83" s="99"/>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row>
    <row r="84" spans="1:107" customFormat="1" ht="15.75" thickBot="1">
      <c r="A84" s="3" t="s">
        <v>49</v>
      </c>
      <c r="B84" s="103">
        <v>44.2</v>
      </c>
      <c r="C84" s="104">
        <v>44.2</v>
      </c>
      <c r="D84" s="103">
        <v>44.2</v>
      </c>
      <c r="E84" s="104">
        <v>44.2</v>
      </c>
      <c r="F84" s="103">
        <v>44.2</v>
      </c>
      <c r="G84" s="104">
        <v>44.2</v>
      </c>
      <c r="H84" s="103">
        <v>44.2</v>
      </c>
      <c r="I84" s="104">
        <v>44.2</v>
      </c>
      <c r="J84" s="103">
        <v>44.2</v>
      </c>
      <c r="K84" s="104">
        <v>44.2</v>
      </c>
      <c r="L84" s="59" t="s">
        <v>18</v>
      </c>
      <c r="M84" s="60" t="s">
        <v>17</v>
      </c>
      <c r="N84" s="59" t="s">
        <v>15</v>
      </c>
      <c r="O84" s="60" t="s">
        <v>430</v>
      </c>
      <c r="P84" s="99"/>
      <c r="Q84" s="99"/>
      <c r="R84" s="99"/>
      <c r="S84" s="99"/>
      <c r="T84" s="99"/>
      <c r="U84" s="99"/>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row>
    <row r="85" spans="1:107" customFormat="1" ht="15.75" thickBot="1">
      <c r="A85" s="3" t="s">
        <v>55</v>
      </c>
      <c r="B85" s="103">
        <v>100</v>
      </c>
      <c r="C85" s="104">
        <v>100</v>
      </c>
      <c r="D85" s="103">
        <v>100</v>
      </c>
      <c r="E85" s="104">
        <v>100</v>
      </c>
      <c r="F85" s="103">
        <v>100</v>
      </c>
      <c r="G85" s="104">
        <v>100</v>
      </c>
      <c r="H85" s="103">
        <v>100</v>
      </c>
      <c r="I85" s="104">
        <v>100</v>
      </c>
      <c r="J85" s="103">
        <v>100</v>
      </c>
      <c r="K85" s="104">
        <v>100</v>
      </c>
      <c r="L85" s="59" t="s">
        <v>18</v>
      </c>
      <c r="M85" s="60" t="s">
        <v>17</v>
      </c>
      <c r="N85" s="59" t="s">
        <v>15</v>
      </c>
      <c r="O85" s="60" t="s">
        <v>430</v>
      </c>
      <c r="P85" s="99"/>
      <c r="Q85" s="99"/>
      <c r="R85" s="99"/>
      <c r="S85" s="99"/>
      <c r="T85" s="99"/>
      <c r="U85" s="99"/>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row>
    <row r="86" spans="1:107" customFormat="1" ht="15.75" thickBot="1">
      <c r="A86" s="3" t="s">
        <v>58</v>
      </c>
      <c r="B86" s="103">
        <v>100</v>
      </c>
      <c r="C86" s="104">
        <v>100</v>
      </c>
      <c r="D86" s="103">
        <v>100</v>
      </c>
      <c r="E86" s="104">
        <v>100</v>
      </c>
      <c r="F86" s="103">
        <v>100</v>
      </c>
      <c r="G86" s="104">
        <v>100</v>
      </c>
      <c r="H86" s="103">
        <v>100</v>
      </c>
      <c r="I86" s="104">
        <v>100</v>
      </c>
      <c r="J86" s="103">
        <v>100</v>
      </c>
      <c r="K86" s="104">
        <v>100</v>
      </c>
      <c r="L86" s="59" t="s">
        <v>18</v>
      </c>
      <c r="M86" s="60" t="s">
        <v>17</v>
      </c>
      <c r="N86" s="59" t="s">
        <v>15</v>
      </c>
      <c r="O86" s="60" t="s">
        <v>430</v>
      </c>
      <c r="P86" s="99"/>
      <c r="Q86" s="99"/>
      <c r="R86" s="99"/>
      <c r="S86" s="99"/>
      <c r="T86" s="99"/>
      <c r="U86" s="99"/>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row>
    <row r="87" spans="1:107" customFormat="1" ht="15.75" thickBot="1">
      <c r="A87" s="3" t="s">
        <v>60</v>
      </c>
      <c r="B87" s="103">
        <v>109</v>
      </c>
      <c r="C87" s="104">
        <v>109</v>
      </c>
      <c r="D87" s="103">
        <v>109</v>
      </c>
      <c r="E87" s="104">
        <v>109</v>
      </c>
      <c r="F87" s="103">
        <v>109</v>
      </c>
      <c r="G87" s="104">
        <v>109</v>
      </c>
      <c r="H87" s="103">
        <v>109</v>
      </c>
      <c r="I87" s="104">
        <v>109</v>
      </c>
      <c r="J87" s="103">
        <v>109</v>
      </c>
      <c r="K87" s="104">
        <v>109</v>
      </c>
      <c r="L87" s="59" t="s">
        <v>18</v>
      </c>
      <c r="M87" s="60" t="s">
        <v>17</v>
      </c>
      <c r="N87" s="59" t="s">
        <v>15</v>
      </c>
      <c r="O87" s="60" t="s">
        <v>430</v>
      </c>
      <c r="P87" s="99"/>
      <c r="Q87" s="99"/>
      <c r="R87" s="99"/>
      <c r="S87" s="99"/>
      <c r="T87" s="99"/>
      <c r="U87" s="99"/>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row>
    <row r="88" spans="1:107" customFormat="1" ht="15.75" thickBot="1">
      <c r="A88" s="3" t="s">
        <v>65</v>
      </c>
      <c r="B88" s="103">
        <v>159</v>
      </c>
      <c r="C88" s="104">
        <v>159</v>
      </c>
      <c r="D88" s="103">
        <v>159</v>
      </c>
      <c r="E88" s="104">
        <v>159</v>
      </c>
      <c r="F88" s="103">
        <v>159</v>
      </c>
      <c r="G88" s="104">
        <v>159</v>
      </c>
      <c r="H88" s="103">
        <v>159</v>
      </c>
      <c r="I88" s="104">
        <v>159</v>
      </c>
      <c r="J88" s="103">
        <v>159</v>
      </c>
      <c r="K88" s="104">
        <v>159</v>
      </c>
      <c r="L88" s="59" t="s">
        <v>18</v>
      </c>
      <c r="M88" s="60" t="s">
        <v>17</v>
      </c>
      <c r="N88" s="59" t="s">
        <v>15</v>
      </c>
      <c r="O88" s="60" t="s">
        <v>430</v>
      </c>
      <c r="P88" s="99"/>
      <c r="Q88" s="99"/>
      <c r="R88" s="99"/>
      <c r="S88" s="99"/>
      <c r="T88" s="99"/>
      <c r="U88" s="99"/>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row>
    <row r="89" spans="1:107" customFormat="1" ht="15.75" thickBot="1">
      <c r="A89" s="3" t="s">
        <v>68</v>
      </c>
      <c r="B89" s="103">
        <v>39</v>
      </c>
      <c r="C89" s="104">
        <v>39</v>
      </c>
      <c r="D89" s="103">
        <v>39</v>
      </c>
      <c r="E89" s="104">
        <v>39</v>
      </c>
      <c r="F89" s="103">
        <v>39</v>
      </c>
      <c r="G89" s="104">
        <v>39</v>
      </c>
      <c r="H89" s="103">
        <v>39</v>
      </c>
      <c r="I89" s="104">
        <v>39</v>
      </c>
      <c r="J89" s="103">
        <v>39</v>
      </c>
      <c r="K89" s="104">
        <v>39</v>
      </c>
      <c r="L89" s="59" t="s">
        <v>18</v>
      </c>
      <c r="M89" s="60" t="s">
        <v>17</v>
      </c>
      <c r="N89" s="59" t="s">
        <v>15</v>
      </c>
      <c r="O89" s="60" t="s">
        <v>430</v>
      </c>
      <c r="P89" s="99"/>
      <c r="Q89" s="99"/>
      <c r="R89" s="99"/>
      <c r="S89" s="99"/>
      <c r="T89" s="99"/>
      <c r="U89" s="99"/>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row>
    <row r="90" spans="1:107" customFormat="1" ht="15.75" thickBot="1">
      <c r="A90" s="3" t="s">
        <v>107</v>
      </c>
      <c r="B90" s="103">
        <v>0</v>
      </c>
      <c r="C90" s="104">
        <v>126</v>
      </c>
      <c r="D90" s="103">
        <v>126</v>
      </c>
      <c r="E90" s="104">
        <v>126</v>
      </c>
      <c r="F90" s="103">
        <v>126</v>
      </c>
      <c r="G90" s="104">
        <v>126</v>
      </c>
      <c r="H90" s="103">
        <v>126</v>
      </c>
      <c r="I90" s="104">
        <v>126</v>
      </c>
      <c r="J90" s="103">
        <v>126</v>
      </c>
      <c r="K90" s="104">
        <v>126</v>
      </c>
      <c r="L90" s="59" t="s">
        <v>18</v>
      </c>
      <c r="M90" s="60" t="s">
        <v>17</v>
      </c>
      <c r="N90" s="59" t="s">
        <v>15</v>
      </c>
      <c r="O90" s="60" t="s">
        <v>430</v>
      </c>
      <c r="P90" s="99"/>
      <c r="Q90" s="99"/>
      <c r="R90" s="99"/>
      <c r="S90" s="99"/>
      <c r="T90" s="99"/>
      <c r="U90" s="99"/>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row>
    <row r="91" spans="1:107" customFormat="1" ht="15.75" thickBot="1">
      <c r="A91" s="3" t="s">
        <v>573</v>
      </c>
      <c r="B91" s="103">
        <v>270</v>
      </c>
      <c r="C91" s="104">
        <v>270</v>
      </c>
      <c r="D91" s="103">
        <v>270</v>
      </c>
      <c r="E91" s="104">
        <v>270</v>
      </c>
      <c r="F91" s="103">
        <v>270</v>
      </c>
      <c r="G91" s="104">
        <v>270</v>
      </c>
      <c r="H91" s="103">
        <v>270</v>
      </c>
      <c r="I91" s="104">
        <v>270</v>
      </c>
      <c r="J91" s="103">
        <v>270</v>
      </c>
      <c r="K91" s="104">
        <v>270</v>
      </c>
      <c r="L91" s="59" t="s">
        <v>18</v>
      </c>
      <c r="M91" s="60" t="s">
        <v>17</v>
      </c>
      <c r="N91" s="59" t="s">
        <v>15</v>
      </c>
      <c r="O91" s="60" t="s">
        <v>430</v>
      </c>
      <c r="P91" s="99"/>
      <c r="Q91" s="99"/>
      <c r="R91" s="99"/>
      <c r="S91" s="99"/>
      <c r="T91" s="99"/>
      <c r="U91" s="99"/>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row>
    <row r="92" spans="1:107" customFormat="1" ht="15.75" thickBot="1">
      <c r="A92" s="3" t="s">
        <v>574</v>
      </c>
      <c r="B92" s="103">
        <v>98.7</v>
      </c>
      <c r="C92" s="104">
        <v>98.7</v>
      </c>
      <c r="D92" s="103">
        <v>98.7</v>
      </c>
      <c r="E92" s="104">
        <v>98.7</v>
      </c>
      <c r="F92" s="103">
        <v>98.7</v>
      </c>
      <c r="G92" s="104">
        <v>98.7</v>
      </c>
      <c r="H92" s="103">
        <v>98.7</v>
      </c>
      <c r="I92" s="104">
        <v>98.7</v>
      </c>
      <c r="J92" s="103">
        <v>98.7</v>
      </c>
      <c r="K92" s="104">
        <v>98.7</v>
      </c>
      <c r="L92" s="59" t="s">
        <v>18</v>
      </c>
      <c r="M92" s="60" t="s">
        <v>17</v>
      </c>
      <c r="N92" s="59" t="s">
        <v>15</v>
      </c>
      <c r="O92" s="60" t="s">
        <v>430</v>
      </c>
      <c r="P92" s="99"/>
      <c r="Q92" s="99"/>
      <c r="R92" s="99"/>
      <c r="S92" s="99"/>
      <c r="T92" s="99"/>
      <c r="U92" s="99"/>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row>
    <row r="93" spans="1:107" customFormat="1" ht="15.75" thickBot="1">
      <c r="A93" s="3" t="s">
        <v>112</v>
      </c>
      <c r="B93" s="103">
        <v>0</v>
      </c>
      <c r="C93" s="104">
        <v>95</v>
      </c>
      <c r="D93" s="103">
        <v>95</v>
      </c>
      <c r="E93" s="104">
        <v>95</v>
      </c>
      <c r="F93" s="103">
        <v>95</v>
      </c>
      <c r="G93" s="104">
        <v>95</v>
      </c>
      <c r="H93" s="103">
        <v>95</v>
      </c>
      <c r="I93" s="104">
        <v>95</v>
      </c>
      <c r="J93" s="103">
        <v>95</v>
      </c>
      <c r="K93" s="104">
        <v>95</v>
      </c>
      <c r="L93" s="59" t="s">
        <v>18</v>
      </c>
      <c r="M93" s="60" t="s">
        <v>28</v>
      </c>
      <c r="N93" s="59" t="s">
        <v>15</v>
      </c>
      <c r="O93" s="60" t="s">
        <v>430</v>
      </c>
      <c r="P93" s="99"/>
      <c r="Q93" s="99"/>
      <c r="R93" s="99"/>
      <c r="S93" s="99"/>
      <c r="T93" s="99"/>
      <c r="U93" s="99"/>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row>
    <row r="94" spans="1:107" customFormat="1" ht="15.75" thickBot="1">
      <c r="A94" s="3" t="s">
        <v>576</v>
      </c>
      <c r="B94" s="103">
        <v>130.80000000000001</v>
      </c>
      <c r="C94" s="104">
        <v>130.80000000000001</v>
      </c>
      <c r="D94" s="103">
        <v>130.80000000000001</v>
      </c>
      <c r="E94" s="104">
        <v>130.80000000000001</v>
      </c>
      <c r="F94" s="103">
        <v>130.80000000000001</v>
      </c>
      <c r="G94" s="104">
        <v>130.80000000000001</v>
      </c>
      <c r="H94" s="103">
        <v>130.80000000000001</v>
      </c>
      <c r="I94" s="104">
        <v>130.80000000000001</v>
      </c>
      <c r="J94" s="103">
        <v>130.80000000000001</v>
      </c>
      <c r="K94" s="104">
        <v>130.80000000000001</v>
      </c>
      <c r="L94" s="59" t="s">
        <v>18</v>
      </c>
      <c r="M94" s="60" t="s">
        <v>17</v>
      </c>
      <c r="N94" s="59" t="s">
        <v>15</v>
      </c>
      <c r="O94" s="60" t="s">
        <v>430</v>
      </c>
      <c r="P94" s="99"/>
      <c r="Q94" s="99"/>
      <c r="R94" s="99"/>
      <c r="S94" s="99"/>
      <c r="T94" s="99"/>
      <c r="U94" s="99"/>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row>
    <row r="95" spans="1:107" customFormat="1" ht="15.75" thickBot="1">
      <c r="A95" s="3" t="s">
        <v>113</v>
      </c>
      <c r="B95" s="103">
        <v>119</v>
      </c>
      <c r="C95" s="104">
        <v>119</v>
      </c>
      <c r="D95" s="103">
        <v>119</v>
      </c>
      <c r="E95" s="104">
        <v>119</v>
      </c>
      <c r="F95" s="103">
        <v>119</v>
      </c>
      <c r="G95" s="104">
        <v>119</v>
      </c>
      <c r="H95" s="103">
        <v>119</v>
      </c>
      <c r="I95" s="104">
        <v>119</v>
      </c>
      <c r="J95" s="103">
        <v>119</v>
      </c>
      <c r="K95" s="104">
        <v>119</v>
      </c>
      <c r="L95" s="59" t="s">
        <v>18</v>
      </c>
      <c r="M95" s="60" t="s">
        <v>17</v>
      </c>
      <c r="N95" s="59" t="s">
        <v>15</v>
      </c>
      <c r="O95" s="60" t="s">
        <v>430</v>
      </c>
      <c r="P95" s="99"/>
      <c r="Q95" s="99"/>
      <c r="R95" s="99"/>
      <c r="S95" s="99"/>
      <c r="T95" s="99"/>
      <c r="U95" s="99"/>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row>
    <row r="96" spans="1:107" customFormat="1" ht="15.75" thickBot="1">
      <c r="A96" s="99"/>
      <c r="B96" s="105"/>
      <c r="C96" s="105"/>
      <c r="D96" s="105"/>
      <c r="E96" s="105"/>
      <c r="F96" s="105"/>
      <c r="G96" s="105"/>
      <c r="H96" s="105"/>
      <c r="I96" s="105"/>
      <c r="J96" s="105"/>
      <c r="K96" s="105"/>
      <c r="L96" s="99"/>
      <c r="M96" s="99"/>
      <c r="N96" s="99"/>
      <c r="O96" s="99"/>
      <c r="P96" s="99"/>
      <c r="Q96" s="99"/>
      <c r="R96" s="99"/>
      <c r="S96" s="99"/>
      <c r="T96" s="99"/>
      <c r="U96" s="99"/>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row>
    <row r="97" spans="1:107" customFormat="1" ht="15.75" thickBot="1">
      <c r="A97" s="61" t="s">
        <v>443</v>
      </c>
      <c r="B97" s="106">
        <f>SUMIF(sumcapsSStable[[FuelType]:[FuelType]],"Wind",sumcapsSStable[2018-19])</f>
        <v>1399.3</v>
      </c>
      <c r="C97" s="106">
        <f>SUMIF(sumcapsSStable[[FuelType]:[FuelType]],"Wind",sumcapsSStable[2019-20])</f>
        <v>1525.3</v>
      </c>
      <c r="D97" s="106">
        <f>SUMIF(sumcapsSStable[[FuelType]:[FuelType]],"Wind",sumcapsSStable[2020-21])</f>
        <v>1525.3</v>
      </c>
      <c r="E97" s="106">
        <f>SUMIF(sumcapsSStable[[FuelType]:[FuelType]],"Wind",sumcapsSStable[2021-22])</f>
        <v>1525.3</v>
      </c>
      <c r="F97" s="106">
        <f>SUMIF(sumcapsSStable[[FuelType]:[FuelType]],"Wind",sumcapsSStable[2022-23])</f>
        <v>1525.3</v>
      </c>
      <c r="G97" s="106">
        <f>SUMIF(sumcapsSStable[[FuelType]:[FuelType]],"Wind",sumcapsSStable[2023-24])</f>
        <v>1525.3</v>
      </c>
      <c r="H97" s="106">
        <f>SUMIF(sumcapsSStable[[FuelType]:[FuelType]],"Wind",sumcapsSStable[2024-25])</f>
        <v>1525.3</v>
      </c>
      <c r="I97" s="106">
        <f>SUMIF(sumcapsSStable[[FuelType]:[FuelType]],"Wind",sumcapsSStable[2025-26])</f>
        <v>1525.3</v>
      </c>
      <c r="J97" s="106">
        <f>SUMIF(sumcapsSStable[[FuelType]:[FuelType]],"Wind",sumcapsSStable[2026-27])</f>
        <v>1525.3</v>
      </c>
      <c r="K97" s="106">
        <f>SUMIF(sumcapsSStable[[FuelType]:[FuelType]],"Wind",sumcapsSStable[2027-28])</f>
        <v>1525.3</v>
      </c>
      <c r="L97" s="62"/>
      <c r="M97" s="64"/>
      <c r="N97" s="64"/>
      <c r="O97" s="64"/>
      <c r="P97" s="99"/>
      <c r="Q97" s="99"/>
      <c r="R97" s="99"/>
      <c r="S97" s="99"/>
      <c r="T97" s="99"/>
      <c r="U97" s="99"/>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row>
    <row r="98" spans="1:107" ht="15.75" thickBot="1">
      <c r="A98" s="61" t="s">
        <v>444</v>
      </c>
      <c r="B98" s="106">
        <f>SUMIF(sumcapsSStable[[FuelType]:[FuelType]],"Solar",sumcapsSStable[2018-19])</f>
        <v>220</v>
      </c>
      <c r="C98" s="106">
        <f>SUMIF(sumcapsSStable[[FuelType]:[FuelType]],"Solar",sumcapsSStable[2019-20])</f>
        <v>315</v>
      </c>
      <c r="D98" s="106">
        <f>SUMIF(sumcapsSStable[[FuelType]:[FuelType]],"Solar",sumcapsSStable[2020-21])</f>
        <v>315</v>
      </c>
      <c r="E98" s="106">
        <f>SUMIF(sumcapsSStable[[FuelType]:[FuelType]],"Solar",sumcapsSStable[2021-22])</f>
        <v>315</v>
      </c>
      <c r="F98" s="106">
        <f>SUMIF(sumcapsSStable[[FuelType]:[FuelType]],"Solar",sumcapsSStable[2022-23])</f>
        <v>315</v>
      </c>
      <c r="G98" s="106">
        <f>SUMIF(sumcapsSStable[[FuelType]:[FuelType]],"Solar",sumcapsSStable[2023-24])</f>
        <v>315</v>
      </c>
      <c r="H98" s="106">
        <f>SUMIF(sumcapsSStable[[FuelType]:[FuelType]],"Solar",sumcapsSStable[2024-25])</f>
        <v>315</v>
      </c>
      <c r="I98" s="106">
        <f>SUMIF(sumcapsSStable[[FuelType]:[FuelType]],"Solar",sumcapsSStable[2025-26])</f>
        <v>315</v>
      </c>
      <c r="J98" s="106">
        <f>SUMIF(sumcapsSStable[[FuelType]:[FuelType]],"Solar",sumcapsSStable[2026-27])</f>
        <v>315</v>
      </c>
      <c r="K98" s="106">
        <f>SUMIF(sumcapsSStable[[FuelType]:[FuelType]],"Solar",sumcapsSStable[2027-28])</f>
        <v>315</v>
      </c>
      <c r="L98" s="62"/>
      <c r="M98" s="64"/>
      <c r="N98" s="64"/>
      <c r="O98" s="64"/>
    </row>
    <row r="99" spans="1:107" s="57" customFormat="1">
      <c r="A99" s="99"/>
      <c r="B99" s="99"/>
      <c r="C99" s="99"/>
      <c r="D99" s="99"/>
      <c r="E99" s="99"/>
      <c r="F99" s="99"/>
      <c r="G99" s="99"/>
      <c r="H99" s="99"/>
      <c r="I99" s="99"/>
      <c r="J99" s="99"/>
      <c r="K99" s="99"/>
      <c r="L99" s="99"/>
      <c r="M99" s="99"/>
      <c r="N99" s="99"/>
      <c r="O99" s="99"/>
      <c r="P99" s="64"/>
      <c r="Q99" s="64"/>
      <c r="R99" s="64"/>
      <c r="S99" s="64"/>
      <c r="T99" s="64"/>
      <c r="U99" s="64"/>
      <c r="V99" s="64"/>
      <c r="W99" s="64"/>
      <c r="X99" s="64"/>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row>
    <row r="100" spans="1:107" s="57" customFormat="1">
      <c r="A100" s="99"/>
      <c r="B100" s="99"/>
      <c r="C100" s="99"/>
      <c r="D100" s="99"/>
      <c r="E100" s="99"/>
      <c r="F100" s="99"/>
      <c r="G100" s="99"/>
      <c r="H100" s="99"/>
      <c r="I100" s="99"/>
      <c r="J100" s="99"/>
      <c r="K100" s="99"/>
      <c r="L100" s="99"/>
      <c r="M100" s="99"/>
      <c r="N100" s="99"/>
      <c r="O100" s="99"/>
      <c r="P100" s="64"/>
      <c r="Q100" s="64"/>
      <c r="R100" s="64"/>
      <c r="S100" s="64"/>
      <c r="T100" s="64"/>
      <c r="U100" s="64"/>
      <c r="V100" s="64"/>
      <c r="W100" s="64"/>
      <c r="X100" s="64"/>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row>
  </sheetData>
  <mergeCells count="4">
    <mergeCell ref="A44:L44"/>
    <mergeCell ref="A45:L45"/>
    <mergeCell ref="A46:L46"/>
    <mergeCell ref="A47:L47"/>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100"/>
  <sheetViews>
    <sheetView workbookViewId="0"/>
  </sheetViews>
  <sheetFormatPr defaultColWidth="9.140625" defaultRowHeight="15"/>
  <cols>
    <col min="1" max="1" width="24.140625" style="99" bestFit="1" customWidth="1"/>
    <col min="2" max="11" width="9" style="99" bestFit="1" customWidth="1"/>
    <col min="12" max="12" width="16.140625" style="99" bestFit="1" customWidth="1"/>
    <col min="13" max="13" width="12.7109375" style="99" hidden="1" customWidth="1"/>
    <col min="14" max="14" width="11" style="99" hidden="1" customWidth="1"/>
    <col min="15" max="15" width="11.42578125" style="99" hidden="1" customWidth="1"/>
    <col min="16" max="21" width="9.140625" style="99"/>
    <col min="22" max="16384" width="9.140625" style="31"/>
  </cols>
  <sheetData>
    <row r="1" spans="1:107" ht="20.25" thickBot="1">
      <c r="A1" s="67" t="s">
        <v>445</v>
      </c>
      <c r="B1" s="31"/>
      <c r="C1" s="31"/>
      <c r="D1" s="31"/>
      <c r="E1" s="31"/>
      <c r="F1" s="31"/>
      <c r="G1" s="31"/>
      <c r="H1" s="31"/>
      <c r="I1" s="31"/>
      <c r="J1" s="31"/>
      <c r="K1" s="31"/>
      <c r="L1" s="31"/>
      <c r="M1" s="31"/>
      <c r="N1" s="31"/>
      <c r="O1" s="31"/>
      <c r="P1" s="31"/>
      <c r="Q1" s="31"/>
      <c r="R1" s="31"/>
      <c r="S1" s="31"/>
      <c r="T1" s="31"/>
      <c r="U1" s="31"/>
    </row>
    <row r="2" spans="1:107" s="58" customFormat="1" ht="15.75" thickBot="1">
      <c r="A2" s="100" t="s">
        <v>426</v>
      </c>
      <c r="B2" s="100" t="s">
        <v>504</v>
      </c>
      <c r="C2" s="100" t="s">
        <v>505</v>
      </c>
      <c r="D2" s="100" t="s">
        <v>506</v>
      </c>
      <c r="E2" s="100" t="s">
        <v>507</v>
      </c>
      <c r="F2" s="100" t="s">
        <v>508</v>
      </c>
      <c r="G2" s="100" t="s">
        <v>509</v>
      </c>
      <c r="H2" s="100" t="s">
        <v>510</v>
      </c>
      <c r="I2" s="100" t="s">
        <v>511</v>
      </c>
      <c r="J2" s="100" t="s">
        <v>512</v>
      </c>
      <c r="K2" s="100" t="s">
        <v>513</v>
      </c>
      <c r="L2" s="100" t="s">
        <v>500</v>
      </c>
      <c r="M2" s="72" t="s">
        <v>427</v>
      </c>
      <c r="N2" s="72" t="s">
        <v>7</v>
      </c>
      <c r="O2" s="73" t="s">
        <v>428</v>
      </c>
      <c r="P2" s="99"/>
      <c r="Q2" s="99"/>
      <c r="R2" s="99"/>
      <c r="S2" s="99"/>
      <c r="T2" s="99"/>
      <c r="U2" s="99"/>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row>
    <row r="3" spans="1:107" s="58" customFormat="1" ht="15.75" thickBot="1">
      <c r="A3" s="69" t="s">
        <v>8</v>
      </c>
      <c r="B3" s="103">
        <v>50</v>
      </c>
      <c r="C3" s="104">
        <v>50</v>
      </c>
      <c r="D3" s="103">
        <v>50</v>
      </c>
      <c r="E3" s="104">
        <v>50</v>
      </c>
      <c r="F3" s="103">
        <v>50</v>
      </c>
      <c r="G3" s="104">
        <v>50</v>
      </c>
      <c r="H3" s="103">
        <v>50</v>
      </c>
      <c r="I3" s="104">
        <v>50</v>
      </c>
      <c r="J3" s="103">
        <v>50</v>
      </c>
      <c r="K3" s="104">
        <v>50</v>
      </c>
      <c r="L3" s="59" t="s">
        <v>13</v>
      </c>
      <c r="M3" s="60" t="s">
        <v>429</v>
      </c>
      <c r="N3" s="59" t="s">
        <v>15</v>
      </c>
      <c r="O3" s="70" t="s">
        <v>446</v>
      </c>
      <c r="P3" s="99"/>
      <c r="Q3" s="99"/>
      <c r="R3" s="99"/>
      <c r="S3" s="99"/>
      <c r="T3" s="99"/>
      <c r="U3" s="99"/>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row>
    <row r="4" spans="1:107" s="58" customFormat="1" ht="15.75" thickBot="1">
      <c r="A4" s="69" t="s">
        <v>104</v>
      </c>
      <c r="B4" s="103">
        <v>0</v>
      </c>
      <c r="C4" s="104">
        <v>210</v>
      </c>
      <c r="D4" s="103">
        <v>210</v>
      </c>
      <c r="E4" s="104">
        <v>210</v>
      </c>
      <c r="F4" s="103">
        <v>210</v>
      </c>
      <c r="G4" s="104">
        <v>210</v>
      </c>
      <c r="H4" s="103">
        <v>210</v>
      </c>
      <c r="I4" s="104">
        <v>210</v>
      </c>
      <c r="J4" s="103">
        <v>210</v>
      </c>
      <c r="K4" s="104">
        <v>210</v>
      </c>
      <c r="L4" s="59" t="s">
        <v>13</v>
      </c>
      <c r="M4" s="60" t="s">
        <v>429</v>
      </c>
      <c r="N4" s="59" t="s">
        <v>15</v>
      </c>
      <c r="O4" s="70" t="s">
        <v>446</v>
      </c>
      <c r="P4" s="99"/>
      <c r="Q4" s="99"/>
      <c r="R4" s="99"/>
      <c r="S4" s="99"/>
      <c r="T4" s="99"/>
      <c r="U4" s="99"/>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row>
    <row r="5" spans="1:107" s="58" customFormat="1" ht="15.75" thickBot="1">
      <c r="A5" s="69" t="s">
        <v>219</v>
      </c>
      <c r="B5" s="103">
        <v>110</v>
      </c>
      <c r="C5" s="104">
        <v>110</v>
      </c>
      <c r="D5" s="103">
        <v>110</v>
      </c>
      <c r="E5" s="104">
        <v>110</v>
      </c>
      <c r="F5" s="103">
        <v>110</v>
      </c>
      <c r="G5" s="104">
        <v>110</v>
      </c>
      <c r="H5" s="103">
        <v>110</v>
      </c>
      <c r="I5" s="104">
        <v>110</v>
      </c>
      <c r="J5" s="103">
        <v>110</v>
      </c>
      <c r="K5" s="104">
        <v>110</v>
      </c>
      <c r="L5" s="59" t="s">
        <v>18</v>
      </c>
      <c r="M5" s="60" t="s">
        <v>28</v>
      </c>
      <c r="N5" s="59" t="s">
        <v>15</v>
      </c>
      <c r="O5" s="70" t="s">
        <v>446</v>
      </c>
      <c r="P5" s="99"/>
      <c r="Q5" s="99"/>
      <c r="R5" s="99"/>
      <c r="S5" s="99"/>
      <c r="T5" s="99"/>
      <c r="U5" s="99"/>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row>
    <row r="6" spans="1:107" s="58" customFormat="1" ht="15.75" thickBot="1">
      <c r="A6" s="69" t="s">
        <v>222</v>
      </c>
      <c r="B6" s="103">
        <v>110</v>
      </c>
      <c r="C6" s="104">
        <v>110</v>
      </c>
      <c r="D6" s="103">
        <v>110</v>
      </c>
      <c r="E6" s="104">
        <v>110</v>
      </c>
      <c r="F6" s="103">
        <v>110</v>
      </c>
      <c r="G6" s="104">
        <v>110</v>
      </c>
      <c r="H6" s="103">
        <v>110</v>
      </c>
      <c r="I6" s="104">
        <v>110</v>
      </c>
      <c r="J6" s="103">
        <v>110</v>
      </c>
      <c r="K6" s="104">
        <v>110</v>
      </c>
      <c r="L6" s="59" t="s">
        <v>18</v>
      </c>
      <c r="M6" s="60" t="s">
        <v>28</v>
      </c>
      <c r="N6" s="59" t="s">
        <v>15</v>
      </c>
      <c r="O6" s="70" t="s">
        <v>446</v>
      </c>
      <c r="P6" s="99"/>
      <c r="Q6" s="99"/>
      <c r="R6" s="99"/>
      <c r="S6" s="99"/>
      <c r="T6" s="99"/>
      <c r="U6" s="99"/>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row>
    <row r="7" spans="1:107" s="58" customFormat="1" ht="15.75" thickBot="1">
      <c r="A7" s="69" t="s">
        <v>571</v>
      </c>
      <c r="B7" s="103">
        <v>56.7</v>
      </c>
      <c r="C7" s="104">
        <v>56.7</v>
      </c>
      <c r="D7" s="103">
        <v>56.7</v>
      </c>
      <c r="E7" s="104">
        <v>56.7</v>
      </c>
      <c r="F7" s="103">
        <v>56.7</v>
      </c>
      <c r="G7" s="104">
        <v>56.7</v>
      </c>
      <c r="H7" s="103">
        <v>56.7</v>
      </c>
      <c r="I7" s="104">
        <v>56.7</v>
      </c>
      <c r="J7" s="103">
        <v>56.7</v>
      </c>
      <c r="K7" s="104">
        <v>56.7</v>
      </c>
      <c r="L7" s="59" t="s">
        <v>18</v>
      </c>
      <c r="M7" s="60" t="s">
        <v>17</v>
      </c>
      <c r="N7" s="59" t="s">
        <v>15</v>
      </c>
      <c r="O7" s="70" t="s">
        <v>446</v>
      </c>
      <c r="P7" s="99"/>
      <c r="Q7" s="99"/>
      <c r="R7" s="99"/>
      <c r="S7" s="99"/>
      <c r="T7" s="99"/>
      <c r="U7" s="99"/>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row>
    <row r="8" spans="1:107" s="58" customFormat="1" ht="15.75" thickBot="1">
      <c r="A8" s="69" t="s">
        <v>34</v>
      </c>
      <c r="B8" s="103">
        <v>143</v>
      </c>
      <c r="C8" s="104">
        <v>143</v>
      </c>
      <c r="D8" s="103">
        <v>143</v>
      </c>
      <c r="E8" s="104">
        <v>143</v>
      </c>
      <c r="F8" s="103">
        <v>143</v>
      </c>
      <c r="G8" s="104">
        <v>143</v>
      </c>
      <c r="H8" s="103">
        <v>143</v>
      </c>
      <c r="I8" s="104">
        <v>143</v>
      </c>
      <c r="J8" s="103">
        <v>143</v>
      </c>
      <c r="K8" s="104">
        <v>143</v>
      </c>
      <c r="L8" s="59" t="s">
        <v>13</v>
      </c>
      <c r="M8" s="60" t="s">
        <v>429</v>
      </c>
      <c r="N8" s="59" t="s">
        <v>15</v>
      </c>
      <c r="O8" s="70" t="s">
        <v>446</v>
      </c>
      <c r="P8" s="99"/>
      <c r="Q8" s="99"/>
      <c r="R8" s="99"/>
      <c r="S8" s="99"/>
      <c r="T8" s="99"/>
      <c r="U8" s="99"/>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row>
    <row r="9" spans="1:107" s="58" customFormat="1" ht="15.75" thickBot="1">
      <c r="A9" s="69" t="s">
        <v>228</v>
      </c>
      <c r="B9" s="103">
        <v>30</v>
      </c>
      <c r="C9" s="104">
        <v>30</v>
      </c>
      <c r="D9" s="103">
        <v>30</v>
      </c>
      <c r="E9" s="104">
        <v>30</v>
      </c>
      <c r="F9" s="103">
        <v>30</v>
      </c>
      <c r="G9" s="104">
        <v>30</v>
      </c>
      <c r="H9" s="103">
        <v>30</v>
      </c>
      <c r="I9" s="104">
        <v>30</v>
      </c>
      <c r="J9" s="103">
        <v>30</v>
      </c>
      <c r="K9" s="104">
        <v>30</v>
      </c>
      <c r="L9" s="59" t="s">
        <v>13</v>
      </c>
      <c r="M9" s="60" t="s">
        <v>17</v>
      </c>
      <c r="N9" s="59" t="s">
        <v>15</v>
      </c>
      <c r="O9" s="70" t="s">
        <v>446</v>
      </c>
      <c r="P9" s="99"/>
      <c r="Q9" s="99"/>
      <c r="R9" s="99"/>
      <c r="S9" s="99"/>
      <c r="T9" s="99"/>
      <c r="U9" s="99"/>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row>
    <row r="10" spans="1:107" s="58" customFormat="1" ht="15.75" thickBot="1">
      <c r="A10" s="69" t="s">
        <v>37</v>
      </c>
      <c r="B10" s="103">
        <v>132.30000000000001</v>
      </c>
      <c r="C10" s="104">
        <v>132.30000000000001</v>
      </c>
      <c r="D10" s="103">
        <v>132.30000000000001</v>
      </c>
      <c r="E10" s="104">
        <v>132.30000000000001</v>
      </c>
      <c r="F10" s="103">
        <v>132.30000000000001</v>
      </c>
      <c r="G10" s="104">
        <v>132.30000000000001</v>
      </c>
      <c r="H10" s="103">
        <v>132.30000000000001</v>
      </c>
      <c r="I10" s="104">
        <v>132.30000000000001</v>
      </c>
      <c r="J10" s="103">
        <v>132.30000000000001</v>
      </c>
      <c r="K10" s="104">
        <v>132.30000000000001</v>
      </c>
      <c r="L10" s="59" t="s">
        <v>18</v>
      </c>
      <c r="M10" s="60" t="s">
        <v>17</v>
      </c>
      <c r="N10" s="59" t="s">
        <v>15</v>
      </c>
      <c r="O10" s="70" t="s">
        <v>446</v>
      </c>
      <c r="P10" s="99"/>
      <c r="Q10" s="99"/>
      <c r="R10" s="99"/>
      <c r="S10" s="99"/>
      <c r="T10" s="99"/>
      <c r="U10" s="99"/>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row>
    <row r="11" spans="1:107" s="58" customFormat="1" ht="15.75" thickBot="1">
      <c r="A11" s="69" t="s">
        <v>40</v>
      </c>
      <c r="B11" s="103">
        <v>52.5</v>
      </c>
      <c r="C11" s="104">
        <v>52.5</v>
      </c>
      <c r="D11" s="103">
        <v>52.5</v>
      </c>
      <c r="E11" s="104">
        <v>52.5</v>
      </c>
      <c r="F11" s="103">
        <v>52.5</v>
      </c>
      <c r="G11" s="104">
        <v>52.5</v>
      </c>
      <c r="H11" s="103">
        <v>52.5</v>
      </c>
      <c r="I11" s="104">
        <v>52.5</v>
      </c>
      <c r="J11" s="103">
        <v>52.5</v>
      </c>
      <c r="K11" s="104">
        <v>52.5</v>
      </c>
      <c r="L11" s="59" t="s">
        <v>18</v>
      </c>
      <c r="M11" s="60" t="s">
        <v>17</v>
      </c>
      <c r="N11" s="59" t="s">
        <v>15</v>
      </c>
      <c r="O11" s="70" t="s">
        <v>446</v>
      </c>
      <c r="P11" s="99"/>
      <c r="Q11" s="99"/>
      <c r="R11" s="99"/>
      <c r="S11" s="99"/>
      <c r="T11" s="99"/>
      <c r="U11" s="99"/>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row>
    <row r="12" spans="1:107" s="58" customFormat="1" ht="15.75" thickBot="1">
      <c r="A12" s="69" t="s">
        <v>43</v>
      </c>
      <c r="B12" s="103">
        <v>216</v>
      </c>
      <c r="C12" s="104">
        <v>216</v>
      </c>
      <c r="D12" s="103">
        <v>216</v>
      </c>
      <c r="E12" s="104">
        <v>216</v>
      </c>
      <c r="F12" s="103">
        <v>216</v>
      </c>
      <c r="G12" s="104">
        <v>216</v>
      </c>
      <c r="H12" s="103">
        <v>216</v>
      </c>
      <c r="I12" s="104">
        <v>216</v>
      </c>
      <c r="J12" s="103">
        <v>216</v>
      </c>
      <c r="K12" s="104">
        <v>216</v>
      </c>
      <c r="L12" s="59" t="s">
        <v>13</v>
      </c>
      <c r="M12" s="60" t="s">
        <v>429</v>
      </c>
      <c r="N12" s="59" t="s">
        <v>15</v>
      </c>
      <c r="O12" s="70" t="s">
        <v>446</v>
      </c>
      <c r="P12" s="99"/>
      <c r="Q12" s="99"/>
      <c r="R12" s="99"/>
      <c r="S12" s="99"/>
      <c r="T12" s="99"/>
      <c r="U12" s="99"/>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row>
    <row r="13" spans="1:107" s="58" customFormat="1" ht="15.75" thickBot="1">
      <c r="A13" s="69" t="s">
        <v>432</v>
      </c>
      <c r="B13" s="103">
        <v>0</v>
      </c>
      <c r="C13" s="104">
        <v>0</v>
      </c>
      <c r="D13" s="103">
        <v>0</v>
      </c>
      <c r="E13" s="104">
        <v>0</v>
      </c>
      <c r="F13" s="103">
        <v>0</v>
      </c>
      <c r="G13" s="104">
        <v>0</v>
      </c>
      <c r="H13" s="103">
        <v>0</v>
      </c>
      <c r="I13" s="104">
        <v>0</v>
      </c>
      <c r="J13" s="103">
        <v>0</v>
      </c>
      <c r="K13" s="104">
        <v>0</v>
      </c>
      <c r="L13" s="59" t="s">
        <v>13</v>
      </c>
      <c r="M13" s="60" t="s">
        <v>429</v>
      </c>
      <c r="N13" s="59" t="s">
        <v>15</v>
      </c>
      <c r="O13" s="70" t="s">
        <v>446</v>
      </c>
      <c r="P13" s="99"/>
      <c r="Q13" s="99"/>
      <c r="R13" s="99"/>
      <c r="S13" s="99"/>
      <c r="T13" s="99"/>
      <c r="U13" s="99"/>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row>
    <row r="14" spans="1:107" s="58" customFormat="1" ht="15.75" thickBot="1">
      <c r="A14" s="69" t="s">
        <v>46</v>
      </c>
      <c r="B14" s="103">
        <v>94.5</v>
      </c>
      <c r="C14" s="104">
        <v>94.5</v>
      </c>
      <c r="D14" s="103">
        <v>94.5</v>
      </c>
      <c r="E14" s="104">
        <v>94.5</v>
      </c>
      <c r="F14" s="103">
        <v>94.5</v>
      </c>
      <c r="G14" s="104">
        <v>94.5</v>
      </c>
      <c r="H14" s="103">
        <v>94.5</v>
      </c>
      <c r="I14" s="104">
        <v>94.5</v>
      </c>
      <c r="J14" s="103">
        <v>94.5</v>
      </c>
      <c r="K14" s="104">
        <v>94.5</v>
      </c>
      <c r="L14" s="59" t="s">
        <v>18</v>
      </c>
      <c r="M14" s="60" t="s">
        <v>17</v>
      </c>
      <c r="N14" s="59" t="s">
        <v>15</v>
      </c>
      <c r="O14" s="70" t="s">
        <v>446</v>
      </c>
      <c r="P14" s="99"/>
      <c r="Q14" s="99"/>
      <c r="R14" s="99"/>
      <c r="S14" s="99"/>
      <c r="T14" s="99"/>
      <c r="U14" s="99"/>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row>
    <row r="15" spans="1:107" s="58" customFormat="1" ht="15.75" thickBot="1">
      <c r="A15" s="69" t="s">
        <v>49</v>
      </c>
      <c r="B15" s="103">
        <v>71.400000000000006</v>
      </c>
      <c r="C15" s="104">
        <v>71.400000000000006</v>
      </c>
      <c r="D15" s="103">
        <v>71.400000000000006</v>
      </c>
      <c r="E15" s="104">
        <v>71.400000000000006</v>
      </c>
      <c r="F15" s="103">
        <v>71.400000000000006</v>
      </c>
      <c r="G15" s="104">
        <v>71.400000000000006</v>
      </c>
      <c r="H15" s="103">
        <v>71.400000000000006</v>
      </c>
      <c r="I15" s="104">
        <v>71.400000000000006</v>
      </c>
      <c r="J15" s="103">
        <v>71.400000000000006</v>
      </c>
      <c r="K15" s="104">
        <v>71.400000000000006</v>
      </c>
      <c r="L15" s="59" t="s">
        <v>18</v>
      </c>
      <c r="M15" s="60" t="s">
        <v>17</v>
      </c>
      <c r="N15" s="59" t="s">
        <v>15</v>
      </c>
      <c r="O15" s="70" t="s">
        <v>446</v>
      </c>
      <c r="P15" s="99"/>
      <c r="Q15" s="99"/>
      <c r="R15" s="99"/>
      <c r="S15" s="99"/>
      <c r="T15" s="99"/>
      <c r="U15" s="99"/>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row>
    <row r="16" spans="1:107" s="58" customFormat="1" ht="15.75" thickBot="1">
      <c r="A16" s="69" t="s">
        <v>52</v>
      </c>
      <c r="B16" s="103">
        <v>100</v>
      </c>
      <c r="C16" s="104">
        <v>100</v>
      </c>
      <c r="D16" s="103">
        <v>100</v>
      </c>
      <c r="E16" s="104">
        <v>100</v>
      </c>
      <c r="F16" s="103">
        <v>100</v>
      </c>
      <c r="G16" s="104">
        <v>100</v>
      </c>
      <c r="H16" s="103">
        <v>100</v>
      </c>
      <c r="I16" s="104">
        <v>100</v>
      </c>
      <c r="J16" s="103">
        <v>100</v>
      </c>
      <c r="K16" s="104">
        <v>100</v>
      </c>
      <c r="L16" s="59" t="s">
        <v>13</v>
      </c>
      <c r="M16" s="60" t="s">
        <v>433</v>
      </c>
      <c r="N16" s="59" t="s">
        <v>15</v>
      </c>
      <c r="O16" s="70" t="s">
        <v>446</v>
      </c>
      <c r="P16" s="99"/>
      <c r="Q16" s="99"/>
      <c r="R16" s="99"/>
      <c r="S16" s="99"/>
      <c r="T16" s="99"/>
      <c r="U16" s="99"/>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row>
    <row r="17" spans="1:107" s="58" customFormat="1" ht="15.75" thickBot="1">
      <c r="A17" s="69" t="s">
        <v>55</v>
      </c>
      <c r="B17" s="103">
        <v>100</v>
      </c>
      <c r="C17" s="104">
        <v>100</v>
      </c>
      <c r="D17" s="103">
        <v>100</v>
      </c>
      <c r="E17" s="104">
        <v>100</v>
      </c>
      <c r="F17" s="103">
        <v>100</v>
      </c>
      <c r="G17" s="104">
        <v>100</v>
      </c>
      <c r="H17" s="103">
        <v>100</v>
      </c>
      <c r="I17" s="104">
        <v>100</v>
      </c>
      <c r="J17" s="103">
        <v>100</v>
      </c>
      <c r="K17" s="104">
        <v>100</v>
      </c>
      <c r="L17" s="59" t="s">
        <v>18</v>
      </c>
      <c r="M17" s="60" t="s">
        <v>17</v>
      </c>
      <c r="N17" s="59" t="s">
        <v>15</v>
      </c>
      <c r="O17" s="70" t="s">
        <v>446</v>
      </c>
      <c r="P17" s="99"/>
      <c r="Q17" s="99"/>
      <c r="R17" s="99"/>
      <c r="S17" s="99"/>
      <c r="T17" s="99"/>
      <c r="U17" s="99"/>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row>
    <row r="18" spans="1:107" s="58" customFormat="1" ht="15.75" thickBot="1">
      <c r="A18" s="69" t="s">
        <v>58</v>
      </c>
      <c r="B18" s="103">
        <v>100</v>
      </c>
      <c r="C18" s="104">
        <v>100</v>
      </c>
      <c r="D18" s="103">
        <v>100</v>
      </c>
      <c r="E18" s="104">
        <v>100</v>
      </c>
      <c r="F18" s="103">
        <v>100</v>
      </c>
      <c r="G18" s="104">
        <v>100</v>
      </c>
      <c r="H18" s="103">
        <v>100</v>
      </c>
      <c r="I18" s="104">
        <v>100</v>
      </c>
      <c r="J18" s="103">
        <v>100</v>
      </c>
      <c r="K18" s="104">
        <v>100</v>
      </c>
      <c r="L18" s="59" t="s">
        <v>18</v>
      </c>
      <c r="M18" s="60" t="s">
        <v>17</v>
      </c>
      <c r="N18" s="59" t="s">
        <v>15</v>
      </c>
      <c r="O18" s="70" t="s">
        <v>446</v>
      </c>
      <c r="P18" s="99"/>
      <c r="Q18" s="99"/>
      <c r="R18" s="99"/>
      <c r="S18" s="99"/>
      <c r="T18" s="99"/>
      <c r="U18" s="99"/>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row>
    <row r="19" spans="1:107" s="58" customFormat="1" ht="15.75" thickBot="1">
      <c r="A19" s="69" t="s">
        <v>60</v>
      </c>
      <c r="B19" s="103">
        <v>109</v>
      </c>
      <c r="C19" s="104">
        <v>109</v>
      </c>
      <c r="D19" s="103">
        <v>109</v>
      </c>
      <c r="E19" s="104">
        <v>109</v>
      </c>
      <c r="F19" s="103">
        <v>109</v>
      </c>
      <c r="G19" s="104">
        <v>109</v>
      </c>
      <c r="H19" s="103">
        <v>109</v>
      </c>
      <c r="I19" s="104">
        <v>109</v>
      </c>
      <c r="J19" s="103">
        <v>109</v>
      </c>
      <c r="K19" s="104">
        <v>109</v>
      </c>
      <c r="L19" s="59" t="s">
        <v>18</v>
      </c>
      <c r="M19" s="60" t="s">
        <v>17</v>
      </c>
      <c r="N19" s="59" t="s">
        <v>15</v>
      </c>
      <c r="O19" s="70" t="s">
        <v>446</v>
      </c>
      <c r="P19" s="99"/>
      <c r="Q19" s="99"/>
      <c r="R19" s="99"/>
      <c r="S19" s="99"/>
      <c r="T19" s="99"/>
      <c r="U19" s="99"/>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row>
    <row r="20" spans="1:107" s="58" customFormat="1" ht="15.75" thickBot="1">
      <c r="A20" s="69" t="s">
        <v>63</v>
      </c>
      <c r="B20" s="103">
        <v>84</v>
      </c>
      <c r="C20" s="104">
        <v>84</v>
      </c>
      <c r="D20" s="103">
        <v>84</v>
      </c>
      <c r="E20" s="104">
        <v>84</v>
      </c>
      <c r="F20" s="103">
        <v>84</v>
      </c>
      <c r="G20" s="104">
        <v>84</v>
      </c>
      <c r="H20" s="103">
        <v>84</v>
      </c>
      <c r="I20" s="104">
        <v>84</v>
      </c>
      <c r="J20" s="103">
        <v>84</v>
      </c>
      <c r="K20" s="104">
        <v>84</v>
      </c>
      <c r="L20" s="59" t="s">
        <v>13</v>
      </c>
      <c r="M20" s="60" t="s">
        <v>429</v>
      </c>
      <c r="N20" s="59" t="s">
        <v>15</v>
      </c>
      <c r="O20" s="70" t="s">
        <v>446</v>
      </c>
      <c r="P20" s="99"/>
      <c r="Q20" s="99"/>
      <c r="R20" s="99"/>
      <c r="S20" s="99"/>
      <c r="T20" s="99"/>
      <c r="U20" s="99"/>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row>
    <row r="21" spans="1:107" s="58" customFormat="1" ht="15.75" thickBot="1">
      <c r="A21" s="69" t="s">
        <v>65</v>
      </c>
      <c r="B21" s="103">
        <v>159</v>
      </c>
      <c r="C21" s="104">
        <v>159</v>
      </c>
      <c r="D21" s="103">
        <v>159</v>
      </c>
      <c r="E21" s="104">
        <v>159</v>
      </c>
      <c r="F21" s="103">
        <v>159</v>
      </c>
      <c r="G21" s="104">
        <v>159</v>
      </c>
      <c r="H21" s="103">
        <v>159</v>
      </c>
      <c r="I21" s="104">
        <v>159</v>
      </c>
      <c r="J21" s="103">
        <v>159</v>
      </c>
      <c r="K21" s="104">
        <v>159</v>
      </c>
      <c r="L21" s="59" t="s">
        <v>18</v>
      </c>
      <c r="M21" s="60" t="s">
        <v>17</v>
      </c>
      <c r="N21" s="59" t="s">
        <v>15</v>
      </c>
      <c r="O21" s="70" t="s">
        <v>446</v>
      </c>
      <c r="P21" s="99"/>
      <c r="Q21" s="99"/>
      <c r="R21" s="99"/>
      <c r="S21" s="99"/>
      <c r="T21" s="99"/>
      <c r="U21" s="99"/>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row>
    <row r="22" spans="1:107" s="58" customFormat="1" ht="15.75" thickBot="1">
      <c r="A22" s="69" t="s">
        <v>68</v>
      </c>
      <c r="B22" s="103">
        <v>39</v>
      </c>
      <c r="C22" s="104">
        <v>39</v>
      </c>
      <c r="D22" s="103">
        <v>39</v>
      </c>
      <c r="E22" s="104">
        <v>39</v>
      </c>
      <c r="F22" s="103">
        <v>39</v>
      </c>
      <c r="G22" s="104">
        <v>39</v>
      </c>
      <c r="H22" s="103">
        <v>39</v>
      </c>
      <c r="I22" s="104">
        <v>39</v>
      </c>
      <c r="J22" s="103">
        <v>39</v>
      </c>
      <c r="K22" s="104">
        <v>39</v>
      </c>
      <c r="L22" s="59" t="s">
        <v>18</v>
      </c>
      <c r="M22" s="60" t="s">
        <v>17</v>
      </c>
      <c r="N22" s="59" t="s">
        <v>15</v>
      </c>
      <c r="O22" s="70" t="s">
        <v>446</v>
      </c>
      <c r="P22" s="99"/>
      <c r="Q22" s="99"/>
      <c r="R22" s="99"/>
      <c r="S22" s="99"/>
      <c r="T22" s="99"/>
      <c r="U22" s="99"/>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row>
    <row r="23" spans="1:107" s="58" customFormat="1" ht="15.75" thickBot="1">
      <c r="A23" s="69" t="s">
        <v>107</v>
      </c>
      <c r="B23" s="103">
        <v>126</v>
      </c>
      <c r="C23" s="104">
        <v>126</v>
      </c>
      <c r="D23" s="103">
        <v>126</v>
      </c>
      <c r="E23" s="104">
        <v>126</v>
      </c>
      <c r="F23" s="103">
        <v>126</v>
      </c>
      <c r="G23" s="104">
        <v>126</v>
      </c>
      <c r="H23" s="103">
        <v>126</v>
      </c>
      <c r="I23" s="104">
        <v>126</v>
      </c>
      <c r="J23" s="103">
        <v>126</v>
      </c>
      <c r="K23" s="104">
        <v>126</v>
      </c>
      <c r="L23" s="59" t="s">
        <v>18</v>
      </c>
      <c r="M23" s="60" t="s">
        <v>17</v>
      </c>
      <c r="N23" s="59" t="s">
        <v>15</v>
      </c>
      <c r="O23" s="70" t="s">
        <v>446</v>
      </c>
      <c r="P23" s="99"/>
      <c r="Q23" s="99"/>
      <c r="R23" s="99"/>
      <c r="S23" s="99"/>
      <c r="T23" s="99"/>
      <c r="U23" s="99"/>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row>
    <row r="24" spans="1:107" s="58" customFormat="1" ht="15.75" thickBot="1">
      <c r="A24" s="69" t="s">
        <v>71</v>
      </c>
      <c r="B24" s="103">
        <v>20.7</v>
      </c>
      <c r="C24" s="104">
        <v>20.7</v>
      </c>
      <c r="D24" s="103">
        <v>20.7</v>
      </c>
      <c r="E24" s="104">
        <v>20.7</v>
      </c>
      <c r="F24" s="103">
        <v>20.7</v>
      </c>
      <c r="G24" s="104">
        <v>20.7</v>
      </c>
      <c r="H24" s="103">
        <v>20.7</v>
      </c>
      <c r="I24" s="104">
        <v>20.7</v>
      </c>
      <c r="J24" s="103">
        <v>20.7</v>
      </c>
      <c r="K24" s="104">
        <v>20.7</v>
      </c>
      <c r="L24" s="59" t="s">
        <v>13</v>
      </c>
      <c r="M24" s="60" t="s">
        <v>429</v>
      </c>
      <c r="N24" s="59" t="s">
        <v>15</v>
      </c>
      <c r="O24" s="70" t="s">
        <v>446</v>
      </c>
      <c r="P24" s="99"/>
      <c r="Q24" s="99"/>
      <c r="R24" s="99"/>
      <c r="S24" s="99"/>
      <c r="T24" s="99"/>
      <c r="U24" s="99"/>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row>
    <row r="25" spans="1:107" s="58" customFormat="1" ht="15.75" thickBot="1">
      <c r="A25" s="69" t="s">
        <v>73</v>
      </c>
      <c r="B25" s="103">
        <v>90</v>
      </c>
      <c r="C25" s="104">
        <v>90</v>
      </c>
      <c r="D25" s="103">
        <v>90</v>
      </c>
      <c r="E25" s="104">
        <v>90</v>
      </c>
      <c r="F25" s="103">
        <v>90</v>
      </c>
      <c r="G25" s="104">
        <v>90</v>
      </c>
      <c r="H25" s="103">
        <v>90</v>
      </c>
      <c r="I25" s="104">
        <v>90</v>
      </c>
      <c r="J25" s="103">
        <v>90</v>
      </c>
      <c r="K25" s="104">
        <v>90</v>
      </c>
      <c r="L25" s="59" t="s">
        <v>13</v>
      </c>
      <c r="M25" s="60" t="s">
        <v>429</v>
      </c>
      <c r="N25" s="59" t="s">
        <v>15</v>
      </c>
      <c r="O25" s="70" t="s">
        <v>446</v>
      </c>
      <c r="P25" s="99"/>
      <c r="Q25" s="99"/>
      <c r="R25" s="99"/>
      <c r="S25" s="99"/>
      <c r="T25" s="99"/>
      <c r="U25" s="99"/>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row>
    <row r="26" spans="1:107" s="58" customFormat="1" ht="15.75" thickBot="1">
      <c r="A26" s="69" t="s">
        <v>75</v>
      </c>
      <c r="B26" s="103">
        <v>188</v>
      </c>
      <c r="C26" s="104">
        <v>188</v>
      </c>
      <c r="D26" s="103">
        <v>188</v>
      </c>
      <c r="E26" s="104">
        <v>188</v>
      </c>
      <c r="F26" s="103">
        <v>188</v>
      </c>
      <c r="G26" s="104">
        <v>188</v>
      </c>
      <c r="H26" s="103">
        <v>188</v>
      </c>
      <c r="I26" s="104">
        <v>188</v>
      </c>
      <c r="J26" s="103">
        <v>188</v>
      </c>
      <c r="K26" s="104">
        <v>188</v>
      </c>
      <c r="L26" s="59" t="s">
        <v>13</v>
      </c>
      <c r="M26" s="60" t="s">
        <v>429</v>
      </c>
      <c r="N26" s="59" t="s">
        <v>15</v>
      </c>
      <c r="O26" s="70" t="s">
        <v>446</v>
      </c>
      <c r="P26" s="99"/>
      <c r="Q26" s="99"/>
      <c r="R26" s="99"/>
      <c r="S26" s="99"/>
      <c r="T26" s="99"/>
      <c r="U26" s="99"/>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row>
    <row r="27" spans="1:107" s="58" customFormat="1" ht="15.75" thickBot="1">
      <c r="A27" s="69" t="s">
        <v>78</v>
      </c>
      <c r="B27" s="103">
        <v>474</v>
      </c>
      <c r="C27" s="104">
        <v>474</v>
      </c>
      <c r="D27" s="103">
        <v>474</v>
      </c>
      <c r="E27" s="104">
        <v>474</v>
      </c>
      <c r="F27" s="103">
        <v>474</v>
      </c>
      <c r="G27" s="104">
        <v>474</v>
      </c>
      <c r="H27" s="103">
        <v>474</v>
      </c>
      <c r="I27" s="104">
        <v>474</v>
      </c>
      <c r="J27" s="103">
        <v>474</v>
      </c>
      <c r="K27" s="104">
        <v>474</v>
      </c>
      <c r="L27" s="59" t="s">
        <v>13</v>
      </c>
      <c r="M27" s="60" t="s">
        <v>429</v>
      </c>
      <c r="N27" s="59" t="s">
        <v>15</v>
      </c>
      <c r="O27" s="70" t="s">
        <v>446</v>
      </c>
      <c r="P27" s="99"/>
      <c r="Q27" s="99"/>
      <c r="R27" s="99"/>
      <c r="S27" s="99"/>
      <c r="T27" s="99"/>
      <c r="U27" s="99"/>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row>
    <row r="28" spans="1:107" s="58" customFormat="1" ht="15.75" thickBot="1">
      <c r="A28" s="69" t="s">
        <v>81</v>
      </c>
      <c r="B28" s="103">
        <v>73.5</v>
      </c>
      <c r="C28" s="104">
        <v>73.5</v>
      </c>
      <c r="D28" s="103">
        <v>73.5</v>
      </c>
      <c r="E28" s="104">
        <v>73.5</v>
      </c>
      <c r="F28" s="103">
        <v>73.5</v>
      </c>
      <c r="G28" s="104">
        <v>73.5</v>
      </c>
      <c r="H28" s="103">
        <v>73.5</v>
      </c>
      <c r="I28" s="104">
        <v>73.5</v>
      </c>
      <c r="J28" s="103">
        <v>73.5</v>
      </c>
      <c r="K28" s="104">
        <v>73.5</v>
      </c>
      <c r="L28" s="59" t="s">
        <v>13</v>
      </c>
      <c r="M28" s="60" t="s">
        <v>429</v>
      </c>
      <c r="N28" s="59" t="s">
        <v>15</v>
      </c>
      <c r="O28" s="70" t="s">
        <v>446</v>
      </c>
      <c r="P28" s="99"/>
      <c r="Q28" s="99"/>
      <c r="R28" s="99"/>
      <c r="S28" s="99"/>
      <c r="T28" s="99"/>
      <c r="U28" s="99"/>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row>
    <row r="29" spans="1:107" s="58" customFormat="1" ht="15.75" thickBot="1">
      <c r="A29" s="69" t="s">
        <v>83</v>
      </c>
      <c r="B29" s="103">
        <v>57.6</v>
      </c>
      <c r="C29" s="104">
        <v>57.6</v>
      </c>
      <c r="D29" s="103">
        <v>57.6</v>
      </c>
      <c r="E29" s="104">
        <v>57.6</v>
      </c>
      <c r="F29" s="103">
        <v>57.6</v>
      </c>
      <c r="G29" s="104">
        <v>57.6</v>
      </c>
      <c r="H29" s="103">
        <v>57.6</v>
      </c>
      <c r="I29" s="104">
        <v>57.6</v>
      </c>
      <c r="J29" s="103">
        <v>57.6</v>
      </c>
      <c r="K29" s="104">
        <v>57.6</v>
      </c>
      <c r="L29" s="59" t="s">
        <v>13</v>
      </c>
      <c r="M29" s="60" t="s">
        <v>429</v>
      </c>
      <c r="N29" s="59" t="s">
        <v>15</v>
      </c>
      <c r="O29" s="70" t="s">
        <v>446</v>
      </c>
      <c r="P29" s="99"/>
      <c r="Q29" s="99"/>
      <c r="R29" s="99"/>
      <c r="S29" s="99"/>
      <c r="T29" s="99"/>
      <c r="U29" s="99"/>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row>
    <row r="30" spans="1:107" s="58" customFormat="1" ht="15.75" thickBot="1">
      <c r="A30" s="69" t="s">
        <v>85</v>
      </c>
      <c r="B30" s="103">
        <v>221</v>
      </c>
      <c r="C30" s="104">
        <v>221</v>
      </c>
      <c r="D30" s="103">
        <v>221</v>
      </c>
      <c r="E30" s="104">
        <v>221</v>
      </c>
      <c r="F30" s="103">
        <v>221</v>
      </c>
      <c r="G30" s="104">
        <v>221</v>
      </c>
      <c r="H30" s="103">
        <v>221</v>
      </c>
      <c r="I30" s="104">
        <v>221</v>
      </c>
      <c r="J30" s="103">
        <v>221</v>
      </c>
      <c r="K30" s="104">
        <v>221</v>
      </c>
      <c r="L30" s="59" t="s">
        <v>13</v>
      </c>
      <c r="M30" s="60" t="s">
        <v>429</v>
      </c>
      <c r="N30" s="59" t="s">
        <v>15</v>
      </c>
      <c r="O30" s="70" t="s">
        <v>446</v>
      </c>
      <c r="P30" s="99"/>
      <c r="Q30" s="99"/>
      <c r="R30" s="99"/>
      <c r="S30" s="99"/>
      <c r="T30" s="99"/>
      <c r="U30" s="99"/>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row>
    <row r="31" spans="1:107" s="58" customFormat="1" ht="15.75" thickBot="1">
      <c r="A31" s="69" t="s">
        <v>573</v>
      </c>
      <c r="B31" s="103">
        <v>270</v>
      </c>
      <c r="C31" s="104">
        <v>270</v>
      </c>
      <c r="D31" s="103">
        <v>270</v>
      </c>
      <c r="E31" s="104">
        <v>270</v>
      </c>
      <c r="F31" s="103">
        <v>270</v>
      </c>
      <c r="G31" s="104">
        <v>270</v>
      </c>
      <c r="H31" s="103">
        <v>270</v>
      </c>
      <c r="I31" s="104">
        <v>270</v>
      </c>
      <c r="J31" s="103">
        <v>270</v>
      </c>
      <c r="K31" s="104">
        <v>270</v>
      </c>
      <c r="L31" s="59" t="s">
        <v>18</v>
      </c>
      <c r="M31" s="60" t="s">
        <v>17</v>
      </c>
      <c r="N31" s="59" t="s">
        <v>15</v>
      </c>
      <c r="O31" s="70" t="s">
        <v>446</v>
      </c>
      <c r="P31" s="99"/>
      <c r="Q31" s="99"/>
      <c r="R31" s="99"/>
      <c r="S31" s="99"/>
      <c r="T31" s="99"/>
      <c r="U31" s="99"/>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row>
    <row r="32" spans="1:107" s="58" customFormat="1" ht="15.75" thickBot="1">
      <c r="A32" s="69" t="s">
        <v>574</v>
      </c>
      <c r="B32" s="103">
        <v>98.7</v>
      </c>
      <c r="C32" s="104">
        <v>98.7</v>
      </c>
      <c r="D32" s="103">
        <v>98.7</v>
      </c>
      <c r="E32" s="104">
        <v>98.7</v>
      </c>
      <c r="F32" s="103">
        <v>98.7</v>
      </c>
      <c r="G32" s="104">
        <v>98.7</v>
      </c>
      <c r="H32" s="103">
        <v>98.7</v>
      </c>
      <c r="I32" s="104">
        <v>98.7</v>
      </c>
      <c r="J32" s="103">
        <v>98.7</v>
      </c>
      <c r="K32" s="104">
        <v>98.7</v>
      </c>
      <c r="L32" s="59" t="s">
        <v>18</v>
      </c>
      <c r="M32" s="60" t="s">
        <v>17</v>
      </c>
      <c r="N32" s="59" t="s">
        <v>15</v>
      </c>
      <c r="O32" s="70" t="s">
        <v>446</v>
      </c>
      <c r="P32" s="99"/>
      <c r="Q32" s="99"/>
      <c r="R32" s="99"/>
      <c r="S32" s="99"/>
      <c r="T32" s="99"/>
      <c r="U32" s="99"/>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row>
    <row r="33" spans="1:107" s="58" customFormat="1" ht="15.75" thickBot="1">
      <c r="A33" s="69" t="s">
        <v>91</v>
      </c>
      <c r="B33" s="103">
        <v>63</v>
      </c>
      <c r="C33" s="104">
        <v>63</v>
      </c>
      <c r="D33" s="103">
        <v>63</v>
      </c>
      <c r="E33" s="104">
        <v>63</v>
      </c>
      <c r="F33" s="103">
        <v>63</v>
      </c>
      <c r="G33" s="104">
        <v>63</v>
      </c>
      <c r="H33" s="103">
        <v>63</v>
      </c>
      <c r="I33" s="104">
        <v>63</v>
      </c>
      <c r="J33" s="103">
        <v>63</v>
      </c>
      <c r="K33" s="104">
        <v>63</v>
      </c>
      <c r="L33" s="59" t="s">
        <v>13</v>
      </c>
      <c r="M33" s="60" t="s">
        <v>429</v>
      </c>
      <c r="N33" s="59" t="s">
        <v>15</v>
      </c>
      <c r="O33" s="70" t="s">
        <v>446</v>
      </c>
      <c r="P33" s="99"/>
      <c r="Q33" s="99"/>
      <c r="R33" s="99"/>
      <c r="S33" s="99"/>
      <c r="T33" s="99"/>
      <c r="U33" s="99"/>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row>
    <row r="34" spans="1:107" s="58" customFormat="1" ht="15.75" thickBot="1">
      <c r="A34" s="69" t="s">
        <v>112</v>
      </c>
      <c r="B34" s="103">
        <v>95</v>
      </c>
      <c r="C34" s="104">
        <v>95</v>
      </c>
      <c r="D34" s="103">
        <v>95</v>
      </c>
      <c r="E34" s="104">
        <v>95</v>
      </c>
      <c r="F34" s="103">
        <v>95</v>
      </c>
      <c r="G34" s="104">
        <v>95</v>
      </c>
      <c r="H34" s="103">
        <v>95</v>
      </c>
      <c r="I34" s="104">
        <v>95</v>
      </c>
      <c r="J34" s="103">
        <v>95</v>
      </c>
      <c r="K34" s="104">
        <v>95</v>
      </c>
      <c r="L34" s="59" t="s">
        <v>18</v>
      </c>
      <c r="M34" s="60" t="s">
        <v>28</v>
      </c>
      <c r="N34" s="59" t="s">
        <v>15</v>
      </c>
      <c r="O34" s="70" t="s">
        <v>446</v>
      </c>
      <c r="P34" s="99"/>
      <c r="Q34" s="99"/>
      <c r="R34" s="99"/>
      <c r="S34" s="99"/>
      <c r="T34" s="99"/>
      <c r="U34" s="99"/>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row>
    <row r="35" spans="1:107" s="58" customFormat="1" ht="15.75" thickBot="1">
      <c r="A35" s="69" t="s">
        <v>502</v>
      </c>
      <c r="B35" s="103">
        <v>123.3</v>
      </c>
      <c r="C35" s="104">
        <v>0</v>
      </c>
      <c r="D35" s="103">
        <v>0</v>
      </c>
      <c r="E35" s="104">
        <v>0</v>
      </c>
      <c r="F35" s="103">
        <v>0</v>
      </c>
      <c r="G35" s="104">
        <v>0</v>
      </c>
      <c r="H35" s="103">
        <v>0</v>
      </c>
      <c r="I35" s="104">
        <v>0</v>
      </c>
      <c r="J35" s="103">
        <v>0</v>
      </c>
      <c r="K35" s="104">
        <v>0</v>
      </c>
      <c r="L35" s="59" t="s">
        <v>13</v>
      </c>
      <c r="M35" s="60" t="s">
        <v>429</v>
      </c>
      <c r="N35" s="59" t="s">
        <v>15</v>
      </c>
      <c r="O35" s="70" t="s">
        <v>446</v>
      </c>
      <c r="P35" s="99"/>
      <c r="Q35" s="99"/>
      <c r="R35" s="99"/>
      <c r="S35" s="99"/>
      <c r="T35" s="99"/>
      <c r="U35" s="99"/>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row>
    <row r="36" spans="1:107" s="58" customFormat="1" ht="15.75" thickBot="1">
      <c r="A36" s="69" t="s">
        <v>503</v>
      </c>
      <c r="B36" s="103">
        <v>123.2</v>
      </c>
      <c r="C36" s="104">
        <v>0</v>
      </c>
      <c r="D36" s="103">
        <v>0</v>
      </c>
      <c r="E36" s="104">
        <v>0</v>
      </c>
      <c r="F36" s="103">
        <v>0</v>
      </c>
      <c r="G36" s="104">
        <v>0</v>
      </c>
      <c r="H36" s="103">
        <v>0</v>
      </c>
      <c r="I36" s="104">
        <v>0</v>
      </c>
      <c r="J36" s="103">
        <v>0</v>
      </c>
      <c r="K36" s="104">
        <v>0</v>
      </c>
      <c r="L36" s="59" t="s">
        <v>13</v>
      </c>
      <c r="M36" s="60" t="s">
        <v>429</v>
      </c>
      <c r="N36" s="59" t="s">
        <v>15</v>
      </c>
      <c r="O36" s="70" t="s">
        <v>446</v>
      </c>
      <c r="P36" s="99"/>
      <c r="Q36" s="99"/>
      <c r="R36" s="99"/>
      <c r="S36" s="99"/>
      <c r="T36" s="99"/>
      <c r="U36" s="99"/>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row>
    <row r="37" spans="1:107" s="58" customFormat="1" ht="15.75" thickBot="1">
      <c r="A37" s="69" t="s">
        <v>96</v>
      </c>
      <c r="B37" s="103">
        <v>480</v>
      </c>
      <c r="C37" s="104">
        <v>240</v>
      </c>
      <c r="D37" s="103">
        <v>120</v>
      </c>
      <c r="E37" s="104">
        <v>0</v>
      </c>
      <c r="F37" s="103">
        <v>0</v>
      </c>
      <c r="G37" s="104">
        <v>0</v>
      </c>
      <c r="H37" s="103">
        <v>0</v>
      </c>
      <c r="I37" s="104">
        <v>0</v>
      </c>
      <c r="J37" s="103">
        <v>0</v>
      </c>
      <c r="K37" s="104">
        <v>0</v>
      </c>
      <c r="L37" s="59" t="s">
        <v>13</v>
      </c>
      <c r="M37" s="60" t="s">
        <v>429</v>
      </c>
      <c r="N37" s="59" t="s">
        <v>15</v>
      </c>
      <c r="O37" s="70" t="s">
        <v>446</v>
      </c>
      <c r="P37" s="99"/>
      <c r="Q37" s="99"/>
      <c r="R37" s="99"/>
      <c r="S37" s="99"/>
      <c r="T37" s="99"/>
      <c r="U37" s="99"/>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row>
    <row r="38" spans="1:107" s="58" customFormat="1" ht="15.75" thickBot="1">
      <c r="A38" s="69" t="s">
        <v>97</v>
      </c>
      <c r="B38" s="103">
        <v>800</v>
      </c>
      <c r="C38" s="104">
        <v>800</v>
      </c>
      <c r="D38" s="103">
        <v>800</v>
      </c>
      <c r="E38" s="104">
        <v>800</v>
      </c>
      <c r="F38" s="103">
        <v>800</v>
      </c>
      <c r="G38" s="104">
        <v>800</v>
      </c>
      <c r="H38" s="103">
        <v>800</v>
      </c>
      <c r="I38" s="104">
        <v>800</v>
      </c>
      <c r="J38" s="103">
        <v>800</v>
      </c>
      <c r="K38" s="104">
        <v>800</v>
      </c>
      <c r="L38" s="59" t="s">
        <v>13</v>
      </c>
      <c r="M38" s="60" t="s">
        <v>429</v>
      </c>
      <c r="N38" s="59" t="s">
        <v>15</v>
      </c>
      <c r="O38" s="70" t="s">
        <v>446</v>
      </c>
      <c r="P38" s="99"/>
      <c r="Q38" s="99"/>
      <c r="R38" s="99"/>
      <c r="S38" s="99"/>
      <c r="T38" s="99"/>
      <c r="U38" s="99"/>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row>
    <row r="39" spans="1:107" s="58" customFormat="1" ht="15.75" thickBot="1">
      <c r="A39" s="69" t="s">
        <v>576</v>
      </c>
      <c r="B39" s="103">
        <v>130.80000000000001</v>
      </c>
      <c r="C39" s="104">
        <v>130.80000000000001</v>
      </c>
      <c r="D39" s="103">
        <v>130.80000000000001</v>
      </c>
      <c r="E39" s="104">
        <v>130.80000000000001</v>
      </c>
      <c r="F39" s="103">
        <v>130.80000000000001</v>
      </c>
      <c r="G39" s="104">
        <v>130.80000000000001</v>
      </c>
      <c r="H39" s="103">
        <v>130.80000000000001</v>
      </c>
      <c r="I39" s="104">
        <v>130.80000000000001</v>
      </c>
      <c r="J39" s="103">
        <v>130.80000000000001</v>
      </c>
      <c r="K39" s="104">
        <v>130.80000000000001</v>
      </c>
      <c r="L39" s="59" t="s">
        <v>18</v>
      </c>
      <c r="M39" s="60" t="s">
        <v>17</v>
      </c>
      <c r="N39" s="59" t="s">
        <v>15</v>
      </c>
      <c r="O39" s="70" t="s">
        <v>446</v>
      </c>
      <c r="P39" s="99"/>
      <c r="Q39" s="99"/>
      <c r="R39" s="99"/>
      <c r="S39" s="99"/>
      <c r="T39" s="99"/>
      <c r="U39" s="99"/>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row>
    <row r="40" spans="1:107" s="58" customFormat="1" ht="15.75" thickBot="1">
      <c r="A40" s="69" t="s">
        <v>113</v>
      </c>
      <c r="B40" s="103">
        <v>119</v>
      </c>
      <c r="C40" s="104">
        <v>119</v>
      </c>
      <c r="D40" s="103">
        <v>119</v>
      </c>
      <c r="E40" s="104">
        <v>119</v>
      </c>
      <c r="F40" s="103">
        <v>119</v>
      </c>
      <c r="G40" s="104">
        <v>119</v>
      </c>
      <c r="H40" s="103">
        <v>119</v>
      </c>
      <c r="I40" s="104">
        <v>119</v>
      </c>
      <c r="J40" s="103">
        <v>119</v>
      </c>
      <c r="K40" s="104">
        <v>119</v>
      </c>
      <c r="L40" s="59" t="s">
        <v>18</v>
      </c>
      <c r="M40" s="60" t="s">
        <v>17</v>
      </c>
      <c r="N40" s="59" t="s">
        <v>15</v>
      </c>
      <c r="O40" s="70" t="s">
        <v>446</v>
      </c>
      <c r="P40" s="99"/>
      <c r="Q40" s="99"/>
      <c r="R40" s="99"/>
      <c r="S40" s="99"/>
      <c r="T40" s="99"/>
      <c r="U40" s="99"/>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row>
    <row r="41" spans="1:107" s="58" customFormat="1" ht="15.75" thickBot="1">
      <c r="A41" s="99"/>
      <c r="B41" s="105"/>
      <c r="C41" s="105"/>
      <c r="D41" s="105"/>
      <c r="E41" s="105"/>
      <c r="F41" s="105"/>
      <c r="G41" s="105"/>
      <c r="H41" s="105"/>
      <c r="I41" s="105"/>
      <c r="J41" s="105"/>
      <c r="K41" s="105"/>
      <c r="L41" s="99"/>
      <c r="M41" s="99"/>
      <c r="N41" s="99"/>
      <c r="O41" s="99"/>
      <c r="P41" s="99"/>
      <c r="Q41" s="99"/>
      <c r="R41" s="99"/>
      <c r="S41" s="99"/>
      <c r="T41" s="99"/>
      <c r="U41" s="99"/>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row>
    <row r="42" spans="1:107" ht="15.75" thickBot="1">
      <c r="A42" s="61" t="s">
        <v>102</v>
      </c>
      <c r="B42" s="106">
        <f>SUM(wincapsalltable[2019])</f>
        <v>5311.2</v>
      </c>
      <c r="C42" s="106">
        <f>SUM(wincapsalltable[2020])</f>
        <v>5034.7</v>
      </c>
      <c r="D42" s="106">
        <f>SUM(wincapsalltable[2021])</f>
        <v>4914.7</v>
      </c>
      <c r="E42" s="106">
        <f>SUM(wincapsalltable[2022])</f>
        <v>4794.7</v>
      </c>
      <c r="F42" s="106">
        <f>SUM(wincapsalltable[2023])</f>
        <v>4794.7</v>
      </c>
      <c r="G42" s="106">
        <f>SUM(wincapsalltable[2024])</f>
        <v>4794.7</v>
      </c>
      <c r="H42" s="106">
        <f>SUM(wincapsalltable[2025])</f>
        <v>4794.7</v>
      </c>
      <c r="I42" s="106">
        <f>SUM(wincapsalltable[2026])</f>
        <v>4794.7</v>
      </c>
      <c r="J42" s="106">
        <f>SUM(wincapsalltable[2027])</f>
        <v>4794.7</v>
      </c>
      <c r="K42" s="106">
        <f>SUM(wincapsalltable[2028])</f>
        <v>4794.7</v>
      </c>
      <c r="L42" s="62"/>
      <c r="M42" s="63"/>
      <c r="N42" s="64"/>
      <c r="O42" s="64"/>
    </row>
    <row r="43" spans="1:107" s="58" customFormat="1">
      <c r="A43" s="99"/>
      <c r="B43" s="68"/>
      <c r="C43" s="68"/>
      <c r="D43" s="68"/>
      <c r="E43" s="68"/>
      <c r="F43" s="68"/>
      <c r="G43" s="68"/>
      <c r="H43" s="68"/>
      <c r="I43" s="68"/>
      <c r="J43" s="68"/>
      <c r="K43" s="68"/>
      <c r="L43" s="99"/>
      <c r="M43" s="64"/>
      <c r="N43" s="65"/>
      <c r="O43" s="64"/>
      <c r="P43" s="64"/>
      <c r="Q43" s="64"/>
      <c r="R43" s="64"/>
      <c r="S43" s="64"/>
      <c r="T43" s="64"/>
      <c r="U43" s="64"/>
      <c r="V43" s="64"/>
      <c r="W43" s="64"/>
      <c r="X43" s="64"/>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row>
    <row r="44" spans="1:107" ht="30.75" customHeight="1">
      <c r="A44" s="150" t="s">
        <v>447</v>
      </c>
      <c r="B44" s="150"/>
      <c r="C44" s="150"/>
      <c r="D44" s="150"/>
      <c r="E44" s="150"/>
      <c r="F44" s="150"/>
      <c r="G44" s="150"/>
      <c r="H44" s="150"/>
      <c r="I44" s="150"/>
      <c r="J44" s="150"/>
      <c r="K44" s="150"/>
      <c r="L44" s="150"/>
      <c r="M44" s="101"/>
      <c r="N44" s="101"/>
      <c r="O44" s="101"/>
      <c r="P44" s="64"/>
      <c r="Q44" s="64"/>
      <c r="R44" s="64"/>
      <c r="S44" s="64"/>
      <c r="T44" s="64"/>
      <c r="U44" s="64"/>
      <c r="V44" s="64"/>
      <c r="W44" s="64"/>
      <c r="X44" s="64"/>
    </row>
    <row r="45" spans="1:107" s="102" customFormat="1" ht="45.75" customHeight="1">
      <c r="A45" s="150" t="s">
        <v>435</v>
      </c>
      <c r="B45" s="150"/>
      <c r="C45" s="150"/>
      <c r="D45" s="150"/>
      <c r="E45" s="150"/>
      <c r="F45" s="150"/>
      <c r="G45" s="150"/>
      <c r="H45" s="150"/>
      <c r="I45" s="150"/>
      <c r="J45" s="150"/>
      <c r="K45" s="150"/>
      <c r="L45" s="150"/>
      <c r="M45" s="101"/>
      <c r="N45" s="130"/>
      <c r="O45" s="130"/>
      <c r="P45" s="101"/>
      <c r="Q45" s="101"/>
      <c r="R45" s="101"/>
      <c r="S45" s="101"/>
      <c r="T45" s="101"/>
      <c r="U45" s="101"/>
      <c r="V45" s="101"/>
      <c r="W45" s="101"/>
      <c r="X45" s="101"/>
    </row>
    <row r="46" spans="1:107" s="102" customFormat="1" ht="58.5" customHeight="1">
      <c r="A46" s="150" t="s">
        <v>436</v>
      </c>
      <c r="B46" s="150"/>
      <c r="C46" s="150"/>
      <c r="D46" s="150"/>
      <c r="E46" s="150"/>
      <c r="F46" s="150"/>
      <c r="G46" s="150"/>
      <c r="H46" s="150"/>
      <c r="I46" s="150"/>
      <c r="J46" s="150"/>
      <c r="K46" s="150"/>
      <c r="L46" s="150"/>
      <c r="M46" s="101"/>
      <c r="N46" s="130"/>
      <c r="O46" s="130"/>
      <c r="P46" s="130"/>
      <c r="Q46" s="130"/>
      <c r="R46" s="130"/>
      <c r="S46" s="130"/>
      <c r="T46" s="130"/>
      <c r="U46" s="130"/>
      <c r="V46" s="101"/>
      <c r="W46" s="101"/>
      <c r="X46" s="101"/>
    </row>
    <row r="47" spans="1:107" s="102" customFormat="1" ht="67.5" customHeight="1">
      <c r="A47" s="150" t="s">
        <v>448</v>
      </c>
      <c r="B47" s="150"/>
      <c r="C47" s="150"/>
      <c r="D47" s="150"/>
      <c r="E47" s="150"/>
      <c r="F47" s="150"/>
      <c r="G47" s="150"/>
      <c r="H47" s="150"/>
      <c r="I47" s="150"/>
      <c r="J47" s="150"/>
      <c r="K47" s="150"/>
      <c r="L47" s="150"/>
      <c r="M47" s="101"/>
      <c r="N47" s="101"/>
      <c r="O47" s="101"/>
      <c r="P47" s="130"/>
      <c r="Q47" s="130"/>
      <c r="R47" s="130"/>
      <c r="S47" s="130"/>
      <c r="T47" s="130"/>
      <c r="U47" s="130"/>
      <c r="V47" s="101"/>
      <c r="W47" s="101"/>
      <c r="X47" s="101"/>
    </row>
    <row r="48" spans="1:107" s="102" customFormat="1" ht="14.25" customHeight="1" thickBot="1">
      <c r="A48" s="99"/>
      <c r="B48" s="99"/>
      <c r="C48" s="99"/>
      <c r="D48" s="99"/>
      <c r="E48" s="99"/>
      <c r="F48" s="99"/>
      <c r="G48" s="99"/>
      <c r="H48" s="99"/>
      <c r="I48" s="99"/>
      <c r="J48" s="99"/>
      <c r="K48" s="99"/>
      <c r="L48" s="99"/>
      <c r="M48" s="64"/>
      <c r="N48" s="64"/>
      <c r="O48" s="64"/>
      <c r="P48" s="101"/>
      <c r="Q48" s="101"/>
      <c r="R48" s="101"/>
      <c r="S48" s="101"/>
      <c r="T48" s="101"/>
      <c r="U48" s="101"/>
      <c r="V48" s="101"/>
      <c r="W48" s="101"/>
      <c r="X48" s="101"/>
    </row>
    <row r="49" spans="1:107" ht="20.25" thickBot="1">
      <c r="A49" s="67" t="s">
        <v>449</v>
      </c>
      <c r="M49" s="64"/>
      <c r="N49" s="64"/>
      <c r="O49" s="64"/>
      <c r="P49" s="64"/>
      <c r="Q49" s="64"/>
      <c r="R49" s="64"/>
      <c r="S49" s="64"/>
      <c r="T49" s="64"/>
      <c r="U49" s="64"/>
      <c r="V49" s="64"/>
      <c r="W49" s="64"/>
      <c r="X49" s="64"/>
    </row>
    <row r="50" spans="1:107" ht="15.75" thickBot="1">
      <c r="A50" s="100" t="s">
        <v>426</v>
      </c>
      <c r="B50" s="100" t="s">
        <v>504</v>
      </c>
      <c r="C50" s="100" t="s">
        <v>505</v>
      </c>
      <c r="D50" s="100" t="s">
        <v>506</v>
      </c>
      <c r="E50" s="100" t="s">
        <v>507</v>
      </c>
      <c r="F50" s="100" t="s">
        <v>508</v>
      </c>
      <c r="G50" s="100" t="s">
        <v>509</v>
      </c>
      <c r="H50" s="100" t="s">
        <v>510</v>
      </c>
      <c r="I50" s="100" t="s">
        <v>511</v>
      </c>
      <c r="J50" s="100" t="s">
        <v>512</v>
      </c>
      <c r="K50" s="100" t="s">
        <v>513</v>
      </c>
      <c r="L50" s="100" t="s">
        <v>500</v>
      </c>
      <c r="M50" s="72" t="s">
        <v>427</v>
      </c>
      <c r="N50" s="72" t="s">
        <v>7</v>
      </c>
      <c r="O50" s="73" t="s">
        <v>428</v>
      </c>
      <c r="P50" s="64"/>
      <c r="Q50" s="64"/>
      <c r="R50" s="64"/>
      <c r="S50" s="64"/>
      <c r="T50" s="64"/>
      <c r="U50" s="64"/>
      <c r="V50" s="64"/>
      <c r="W50" s="64"/>
      <c r="X50" s="64"/>
    </row>
    <row r="51" spans="1:107" s="58" customFormat="1" ht="15.75" thickBot="1">
      <c r="A51" s="69" t="s">
        <v>8</v>
      </c>
      <c r="B51" s="103">
        <v>50</v>
      </c>
      <c r="C51" s="104">
        <v>50</v>
      </c>
      <c r="D51" s="103">
        <v>50</v>
      </c>
      <c r="E51" s="104">
        <v>50</v>
      </c>
      <c r="F51" s="103">
        <v>50</v>
      </c>
      <c r="G51" s="104">
        <v>50</v>
      </c>
      <c r="H51" s="103">
        <v>50</v>
      </c>
      <c r="I51" s="104">
        <v>50</v>
      </c>
      <c r="J51" s="103">
        <v>50</v>
      </c>
      <c r="K51" s="104">
        <v>50</v>
      </c>
      <c r="L51" s="59" t="s">
        <v>13</v>
      </c>
      <c r="M51" s="60" t="s">
        <v>429</v>
      </c>
      <c r="N51" s="59" t="s">
        <v>15</v>
      </c>
      <c r="O51" s="70" t="s">
        <v>446</v>
      </c>
      <c r="P51" s="99"/>
      <c r="Q51" s="99"/>
      <c r="R51" s="99"/>
      <c r="S51" s="99"/>
      <c r="T51" s="99"/>
      <c r="U51" s="99"/>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row>
    <row r="52" spans="1:107" s="58" customFormat="1" ht="15.75" thickBot="1">
      <c r="A52" s="69" t="s">
        <v>104</v>
      </c>
      <c r="B52" s="103">
        <v>0</v>
      </c>
      <c r="C52" s="104">
        <v>210</v>
      </c>
      <c r="D52" s="103">
        <v>210</v>
      </c>
      <c r="E52" s="104">
        <v>210</v>
      </c>
      <c r="F52" s="103">
        <v>210</v>
      </c>
      <c r="G52" s="104">
        <v>210</v>
      </c>
      <c r="H52" s="103">
        <v>210</v>
      </c>
      <c r="I52" s="104">
        <v>210</v>
      </c>
      <c r="J52" s="103">
        <v>210</v>
      </c>
      <c r="K52" s="104">
        <v>210</v>
      </c>
      <c r="L52" s="59" t="s">
        <v>13</v>
      </c>
      <c r="M52" s="60" t="s">
        <v>429</v>
      </c>
      <c r="N52" s="59" t="s">
        <v>15</v>
      </c>
      <c r="O52" s="70" t="s">
        <v>446</v>
      </c>
      <c r="P52" s="99"/>
      <c r="Q52" s="99"/>
      <c r="R52" s="99"/>
      <c r="S52" s="99"/>
      <c r="T52" s="99"/>
      <c r="U52" s="99"/>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row>
    <row r="53" spans="1:107" s="58" customFormat="1" ht="15.75" thickBot="1">
      <c r="A53" s="69" t="s">
        <v>34</v>
      </c>
      <c r="B53" s="103">
        <v>143</v>
      </c>
      <c r="C53" s="104">
        <v>143</v>
      </c>
      <c r="D53" s="103">
        <v>143</v>
      </c>
      <c r="E53" s="104">
        <v>143</v>
      </c>
      <c r="F53" s="103">
        <v>143</v>
      </c>
      <c r="G53" s="104">
        <v>143</v>
      </c>
      <c r="H53" s="103">
        <v>143</v>
      </c>
      <c r="I53" s="104">
        <v>143</v>
      </c>
      <c r="J53" s="103">
        <v>143</v>
      </c>
      <c r="K53" s="104">
        <v>143</v>
      </c>
      <c r="L53" s="59" t="s">
        <v>13</v>
      </c>
      <c r="M53" s="60" t="s">
        <v>429</v>
      </c>
      <c r="N53" s="59" t="s">
        <v>15</v>
      </c>
      <c r="O53" s="70" t="s">
        <v>446</v>
      </c>
      <c r="P53" s="99"/>
      <c r="Q53" s="99"/>
      <c r="R53" s="99"/>
      <c r="S53" s="99"/>
      <c r="T53" s="99"/>
      <c r="U53" s="99"/>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row>
    <row r="54" spans="1:107" s="58" customFormat="1" ht="15.75" thickBot="1">
      <c r="A54" s="69" t="s">
        <v>228</v>
      </c>
      <c r="B54" s="103">
        <v>30</v>
      </c>
      <c r="C54" s="104">
        <v>30</v>
      </c>
      <c r="D54" s="103">
        <v>30</v>
      </c>
      <c r="E54" s="104">
        <v>30</v>
      </c>
      <c r="F54" s="103">
        <v>30</v>
      </c>
      <c r="G54" s="104">
        <v>30</v>
      </c>
      <c r="H54" s="103">
        <v>30</v>
      </c>
      <c r="I54" s="104">
        <v>30</v>
      </c>
      <c r="J54" s="103">
        <v>30</v>
      </c>
      <c r="K54" s="104">
        <v>30</v>
      </c>
      <c r="L54" s="59" t="s">
        <v>13</v>
      </c>
      <c r="M54" s="60" t="s">
        <v>17</v>
      </c>
      <c r="N54" s="59" t="s">
        <v>15</v>
      </c>
      <c r="O54" s="70" t="s">
        <v>446</v>
      </c>
      <c r="P54" s="99"/>
      <c r="Q54" s="99"/>
      <c r="R54" s="99"/>
      <c r="S54" s="99"/>
      <c r="T54" s="99"/>
      <c r="U54" s="99"/>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row>
    <row r="55" spans="1:107" s="58" customFormat="1" ht="15.75" thickBot="1">
      <c r="A55" s="69" t="s">
        <v>43</v>
      </c>
      <c r="B55" s="103">
        <v>216</v>
      </c>
      <c r="C55" s="104">
        <v>216</v>
      </c>
      <c r="D55" s="103">
        <v>216</v>
      </c>
      <c r="E55" s="104">
        <v>216</v>
      </c>
      <c r="F55" s="103">
        <v>216</v>
      </c>
      <c r="G55" s="104">
        <v>216</v>
      </c>
      <c r="H55" s="103">
        <v>216</v>
      </c>
      <c r="I55" s="104">
        <v>216</v>
      </c>
      <c r="J55" s="103">
        <v>216</v>
      </c>
      <c r="K55" s="104">
        <v>216</v>
      </c>
      <c r="L55" s="59" t="s">
        <v>13</v>
      </c>
      <c r="M55" s="60" t="s">
        <v>429</v>
      </c>
      <c r="N55" s="59" t="s">
        <v>15</v>
      </c>
      <c r="O55" s="70" t="s">
        <v>446</v>
      </c>
      <c r="P55" s="99"/>
      <c r="Q55" s="99"/>
      <c r="R55" s="99"/>
      <c r="S55" s="99"/>
      <c r="T55" s="99"/>
      <c r="U55" s="99"/>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row>
    <row r="56" spans="1:107" s="58" customFormat="1" ht="15.75" thickBot="1">
      <c r="A56" s="69" t="s">
        <v>432</v>
      </c>
      <c r="B56" s="103">
        <v>0</v>
      </c>
      <c r="C56" s="104">
        <v>0</v>
      </c>
      <c r="D56" s="103">
        <v>0</v>
      </c>
      <c r="E56" s="104">
        <v>0</v>
      </c>
      <c r="F56" s="103">
        <v>0</v>
      </c>
      <c r="G56" s="104">
        <v>0</v>
      </c>
      <c r="H56" s="103">
        <v>0</v>
      </c>
      <c r="I56" s="104">
        <v>0</v>
      </c>
      <c r="J56" s="103">
        <v>0</v>
      </c>
      <c r="K56" s="104">
        <v>0</v>
      </c>
      <c r="L56" s="59" t="s">
        <v>13</v>
      </c>
      <c r="M56" s="60" t="s">
        <v>429</v>
      </c>
      <c r="N56" s="59" t="s">
        <v>15</v>
      </c>
      <c r="O56" s="70" t="s">
        <v>446</v>
      </c>
      <c r="P56" s="99"/>
      <c r="Q56" s="99"/>
      <c r="R56" s="99"/>
      <c r="S56" s="99"/>
      <c r="T56" s="99"/>
      <c r="U56" s="99"/>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row>
    <row r="57" spans="1:107" s="58" customFormat="1" ht="15.75" thickBot="1">
      <c r="A57" s="69" t="s">
        <v>52</v>
      </c>
      <c r="B57" s="103">
        <v>100</v>
      </c>
      <c r="C57" s="104">
        <v>100</v>
      </c>
      <c r="D57" s="103">
        <v>100</v>
      </c>
      <c r="E57" s="104">
        <v>100</v>
      </c>
      <c r="F57" s="103">
        <v>100</v>
      </c>
      <c r="G57" s="104">
        <v>100</v>
      </c>
      <c r="H57" s="103">
        <v>100</v>
      </c>
      <c r="I57" s="104">
        <v>100</v>
      </c>
      <c r="J57" s="103">
        <v>100</v>
      </c>
      <c r="K57" s="104">
        <v>100</v>
      </c>
      <c r="L57" s="59" t="s">
        <v>13</v>
      </c>
      <c r="M57" s="60" t="s">
        <v>433</v>
      </c>
      <c r="N57" s="59" t="s">
        <v>15</v>
      </c>
      <c r="O57" s="70" t="s">
        <v>446</v>
      </c>
      <c r="P57" s="99"/>
      <c r="Q57" s="99"/>
      <c r="R57" s="99"/>
      <c r="S57" s="99"/>
      <c r="T57" s="99"/>
      <c r="U57" s="99"/>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row>
    <row r="58" spans="1:107" s="58" customFormat="1" ht="15.75" thickBot="1">
      <c r="A58" s="69" t="s">
        <v>63</v>
      </c>
      <c r="B58" s="103">
        <v>84</v>
      </c>
      <c r="C58" s="104">
        <v>84</v>
      </c>
      <c r="D58" s="103">
        <v>84</v>
      </c>
      <c r="E58" s="104">
        <v>84</v>
      </c>
      <c r="F58" s="103">
        <v>84</v>
      </c>
      <c r="G58" s="104">
        <v>84</v>
      </c>
      <c r="H58" s="103">
        <v>84</v>
      </c>
      <c r="I58" s="104">
        <v>84</v>
      </c>
      <c r="J58" s="103">
        <v>84</v>
      </c>
      <c r="K58" s="104">
        <v>84</v>
      </c>
      <c r="L58" s="59" t="s">
        <v>13</v>
      </c>
      <c r="M58" s="60" t="s">
        <v>429</v>
      </c>
      <c r="N58" s="59" t="s">
        <v>15</v>
      </c>
      <c r="O58" s="70" t="s">
        <v>446</v>
      </c>
      <c r="P58" s="99"/>
      <c r="Q58" s="99"/>
      <c r="R58" s="99"/>
      <c r="S58" s="99"/>
      <c r="T58" s="99"/>
      <c r="U58" s="99"/>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row>
    <row r="59" spans="1:107" s="58" customFormat="1" ht="15.75" thickBot="1">
      <c r="A59" s="69" t="s">
        <v>71</v>
      </c>
      <c r="B59" s="103">
        <v>20.7</v>
      </c>
      <c r="C59" s="104">
        <v>20.7</v>
      </c>
      <c r="D59" s="103">
        <v>20.7</v>
      </c>
      <c r="E59" s="104">
        <v>20.7</v>
      </c>
      <c r="F59" s="103">
        <v>20.7</v>
      </c>
      <c r="G59" s="104">
        <v>20.7</v>
      </c>
      <c r="H59" s="103">
        <v>20.7</v>
      </c>
      <c r="I59" s="104">
        <v>20.7</v>
      </c>
      <c r="J59" s="103">
        <v>20.7</v>
      </c>
      <c r="K59" s="104">
        <v>20.7</v>
      </c>
      <c r="L59" s="59" t="s">
        <v>13</v>
      </c>
      <c r="M59" s="60" t="s">
        <v>429</v>
      </c>
      <c r="N59" s="59" t="s">
        <v>15</v>
      </c>
      <c r="O59" s="70" t="s">
        <v>446</v>
      </c>
      <c r="P59" s="99"/>
      <c r="Q59" s="99"/>
      <c r="R59" s="99"/>
      <c r="S59" s="99"/>
      <c r="T59" s="99"/>
      <c r="U59" s="99"/>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row>
    <row r="60" spans="1:107" s="58" customFormat="1" ht="15.75" thickBot="1">
      <c r="A60" s="69" t="s">
        <v>73</v>
      </c>
      <c r="B60" s="103">
        <v>90</v>
      </c>
      <c r="C60" s="104">
        <v>90</v>
      </c>
      <c r="D60" s="103">
        <v>90</v>
      </c>
      <c r="E60" s="104">
        <v>90</v>
      </c>
      <c r="F60" s="103">
        <v>90</v>
      </c>
      <c r="G60" s="104">
        <v>90</v>
      </c>
      <c r="H60" s="103">
        <v>90</v>
      </c>
      <c r="I60" s="104">
        <v>90</v>
      </c>
      <c r="J60" s="103">
        <v>90</v>
      </c>
      <c r="K60" s="104">
        <v>90</v>
      </c>
      <c r="L60" s="59" t="s">
        <v>13</v>
      </c>
      <c r="M60" s="60" t="s">
        <v>429</v>
      </c>
      <c r="N60" s="59" t="s">
        <v>15</v>
      </c>
      <c r="O60" s="70" t="s">
        <v>446</v>
      </c>
      <c r="P60" s="99"/>
      <c r="Q60" s="99"/>
      <c r="R60" s="99"/>
      <c r="S60" s="99"/>
      <c r="T60" s="99"/>
      <c r="U60" s="99"/>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row>
    <row r="61" spans="1:107" s="58" customFormat="1" ht="15.75" thickBot="1">
      <c r="A61" s="69" t="s">
        <v>75</v>
      </c>
      <c r="B61" s="103">
        <v>188</v>
      </c>
      <c r="C61" s="104">
        <v>188</v>
      </c>
      <c r="D61" s="103">
        <v>188</v>
      </c>
      <c r="E61" s="104">
        <v>188</v>
      </c>
      <c r="F61" s="103">
        <v>188</v>
      </c>
      <c r="G61" s="104">
        <v>188</v>
      </c>
      <c r="H61" s="103">
        <v>188</v>
      </c>
      <c r="I61" s="104">
        <v>188</v>
      </c>
      <c r="J61" s="103">
        <v>188</v>
      </c>
      <c r="K61" s="104">
        <v>188</v>
      </c>
      <c r="L61" s="59" t="s">
        <v>13</v>
      </c>
      <c r="M61" s="60" t="s">
        <v>429</v>
      </c>
      <c r="N61" s="59" t="s">
        <v>15</v>
      </c>
      <c r="O61" s="70" t="s">
        <v>446</v>
      </c>
      <c r="P61" s="99"/>
      <c r="Q61" s="99"/>
      <c r="R61" s="99"/>
      <c r="S61" s="99"/>
      <c r="T61" s="99"/>
      <c r="U61" s="99"/>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row>
    <row r="62" spans="1:107" s="58" customFormat="1" ht="15.75" thickBot="1">
      <c r="A62" s="69" t="s">
        <v>78</v>
      </c>
      <c r="B62" s="103">
        <v>474</v>
      </c>
      <c r="C62" s="104">
        <v>474</v>
      </c>
      <c r="D62" s="103">
        <v>474</v>
      </c>
      <c r="E62" s="104">
        <v>474</v>
      </c>
      <c r="F62" s="103">
        <v>474</v>
      </c>
      <c r="G62" s="104">
        <v>474</v>
      </c>
      <c r="H62" s="103">
        <v>474</v>
      </c>
      <c r="I62" s="104">
        <v>474</v>
      </c>
      <c r="J62" s="103">
        <v>474</v>
      </c>
      <c r="K62" s="104">
        <v>474</v>
      </c>
      <c r="L62" s="59" t="s">
        <v>13</v>
      </c>
      <c r="M62" s="60" t="s">
        <v>429</v>
      </c>
      <c r="N62" s="59" t="s">
        <v>15</v>
      </c>
      <c r="O62" s="70" t="s">
        <v>446</v>
      </c>
      <c r="P62" s="99"/>
      <c r="Q62" s="99"/>
      <c r="R62" s="99"/>
      <c r="S62" s="99"/>
      <c r="T62" s="99"/>
      <c r="U62" s="99"/>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row>
    <row r="63" spans="1:107" s="58" customFormat="1" ht="15.75" thickBot="1">
      <c r="A63" s="69" t="s">
        <v>81</v>
      </c>
      <c r="B63" s="103">
        <v>73.5</v>
      </c>
      <c r="C63" s="104">
        <v>73.5</v>
      </c>
      <c r="D63" s="103">
        <v>73.5</v>
      </c>
      <c r="E63" s="104">
        <v>73.5</v>
      </c>
      <c r="F63" s="103">
        <v>73.5</v>
      </c>
      <c r="G63" s="104">
        <v>73.5</v>
      </c>
      <c r="H63" s="103">
        <v>73.5</v>
      </c>
      <c r="I63" s="104">
        <v>73.5</v>
      </c>
      <c r="J63" s="103">
        <v>73.5</v>
      </c>
      <c r="K63" s="104">
        <v>73.5</v>
      </c>
      <c r="L63" s="59" t="s">
        <v>13</v>
      </c>
      <c r="M63" s="60" t="s">
        <v>429</v>
      </c>
      <c r="N63" s="59" t="s">
        <v>15</v>
      </c>
      <c r="O63" s="70" t="s">
        <v>446</v>
      </c>
      <c r="P63" s="99"/>
      <c r="Q63" s="99"/>
      <c r="R63" s="99"/>
      <c r="S63" s="99"/>
      <c r="T63" s="99"/>
      <c r="U63" s="99"/>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row>
    <row r="64" spans="1:107" s="58" customFormat="1" ht="15.75" thickBot="1">
      <c r="A64" s="69" t="s">
        <v>83</v>
      </c>
      <c r="B64" s="103">
        <v>57.6</v>
      </c>
      <c r="C64" s="104">
        <v>57.6</v>
      </c>
      <c r="D64" s="103">
        <v>57.6</v>
      </c>
      <c r="E64" s="104">
        <v>57.6</v>
      </c>
      <c r="F64" s="103">
        <v>57.6</v>
      </c>
      <c r="G64" s="104">
        <v>57.6</v>
      </c>
      <c r="H64" s="103">
        <v>57.6</v>
      </c>
      <c r="I64" s="104">
        <v>57.6</v>
      </c>
      <c r="J64" s="103">
        <v>57.6</v>
      </c>
      <c r="K64" s="104">
        <v>57.6</v>
      </c>
      <c r="L64" s="59" t="s">
        <v>13</v>
      </c>
      <c r="M64" s="60" t="s">
        <v>429</v>
      </c>
      <c r="N64" s="59" t="s">
        <v>15</v>
      </c>
      <c r="O64" s="70" t="s">
        <v>446</v>
      </c>
      <c r="P64" s="99"/>
      <c r="Q64" s="99"/>
      <c r="R64" s="99"/>
      <c r="S64" s="99"/>
      <c r="T64" s="99"/>
      <c r="U64" s="99"/>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row>
    <row r="65" spans="1:107" s="58" customFormat="1" ht="15.75" thickBot="1">
      <c r="A65" s="69" t="s">
        <v>85</v>
      </c>
      <c r="B65" s="103">
        <v>221</v>
      </c>
      <c r="C65" s="104">
        <v>221</v>
      </c>
      <c r="D65" s="103">
        <v>221</v>
      </c>
      <c r="E65" s="104">
        <v>221</v>
      </c>
      <c r="F65" s="103">
        <v>221</v>
      </c>
      <c r="G65" s="104">
        <v>221</v>
      </c>
      <c r="H65" s="103">
        <v>221</v>
      </c>
      <c r="I65" s="104">
        <v>221</v>
      </c>
      <c r="J65" s="103">
        <v>221</v>
      </c>
      <c r="K65" s="104">
        <v>221</v>
      </c>
      <c r="L65" s="59" t="s">
        <v>13</v>
      </c>
      <c r="M65" s="60" t="s">
        <v>429</v>
      </c>
      <c r="N65" s="59" t="s">
        <v>15</v>
      </c>
      <c r="O65" s="70" t="s">
        <v>446</v>
      </c>
      <c r="P65" s="99"/>
      <c r="Q65" s="99"/>
      <c r="R65" s="99"/>
      <c r="S65" s="99"/>
      <c r="T65" s="99"/>
      <c r="U65" s="99"/>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row>
    <row r="66" spans="1:107" s="58" customFormat="1" ht="15.75" thickBot="1">
      <c r="A66" s="69" t="s">
        <v>91</v>
      </c>
      <c r="B66" s="103">
        <v>63</v>
      </c>
      <c r="C66" s="104">
        <v>63</v>
      </c>
      <c r="D66" s="103">
        <v>63</v>
      </c>
      <c r="E66" s="104">
        <v>63</v>
      </c>
      <c r="F66" s="103">
        <v>63</v>
      </c>
      <c r="G66" s="104">
        <v>63</v>
      </c>
      <c r="H66" s="103">
        <v>63</v>
      </c>
      <c r="I66" s="104">
        <v>63</v>
      </c>
      <c r="J66" s="103">
        <v>63</v>
      </c>
      <c r="K66" s="104">
        <v>63</v>
      </c>
      <c r="L66" s="59" t="s">
        <v>13</v>
      </c>
      <c r="M66" s="60" t="s">
        <v>429</v>
      </c>
      <c r="N66" s="59" t="s">
        <v>15</v>
      </c>
      <c r="O66" s="70" t="s">
        <v>446</v>
      </c>
      <c r="P66" s="99"/>
      <c r="Q66" s="99"/>
      <c r="R66" s="99"/>
      <c r="S66" s="99"/>
      <c r="T66" s="99"/>
      <c r="U66" s="99"/>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row>
    <row r="67" spans="1:107" s="58" customFormat="1" ht="15.75" thickBot="1">
      <c r="A67" s="69" t="s">
        <v>502</v>
      </c>
      <c r="B67" s="103">
        <v>123.3</v>
      </c>
      <c r="C67" s="104">
        <v>0</v>
      </c>
      <c r="D67" s="103">
        <v>0</v>
      </c>
      <c r="E67" s="104">
        <v>0</v>
      </c>
      <c r="F67" s="103">
        <v>0</v>
      </c>
      <c r="G67" s="104">
        <v>0</v>
      </c>
      <c r="H67" s="103">
        <v>0</v>
      </c>
      <c r="I67" s="104">
        <v>0</v>
      </c>
      <c r="J67" s="103">
        <v>0</v>
      </c>
      <c r="K67" s="104">
        <v>0</v>
      </c>
      <c r="L67" s="59" t="s">
        <v>13</v>
      </c>
      <c r="M67" s="60" t="s">
        <v>429</v>
      </c>
      <c r="N67" s="59" t="s">
        <v>15</v>
      </c>
      <c r="O67" s="70" t="s">
        <v>446</v>
      </c>
      <c r="P67" s="99"/>
      <c r="Q67" s="99"/>
      <c r="R67" s="99"/>
      <c r="S67" s="99"/>
      <c r="T67" s="99"/>
      <c r="U67" s="99"/>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row>
    <row r="68" spans="1:107" s="58" customFormat="1" ht="15.75" thickBot="1">
      <c r="A68" s="69" t="s">
        <v>503</v>
      </c>
      <c r="B68" s="103">
        <v>123.2</v>
      </c>
      <c r="C68" s="104">
        <v>0</v>
      </c>
      <c r="D68" s="103">
        <v>0</v>
      </c>
      <c r="E68" s="104">
        <v>0</v>
      </c>
      <c r="F68" s="103">
        <v>0</v>
      </c>
      <c r="G68" s="104">
        <v>0</v>
      </c>
      <c r="H68" s="103">
        <v>0</v>
      </c>
      <c r="I68" s="104">
        <v>0</v>
      </c>
      <c r="J68" s="103">
        <v>0</v>
      </c>
      <c r="K68" s="104">
        <v>0</v>
      </c>
      <c r="L68" s="59" t="s">
        <v>13</v>
      </c>
      <c r="M68" s="60" t="s">
        <v>429</v>
      </c>
      <c r="N68" s="59" t="s">
        <v>15</v>
      </c>
      <c r="O68" s="70" t="s">
        <v>446</v>
      </c>
      <c r="P68" s="99"/>
      <c r="Q68" s="99"/>
      <c r="R68" s="99"/>
      <c r="S68" s="99"/>
      <c r="T68" s="99"/>
      <c r="U68" s="99"/>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row>
    <row r="69" spans="1:107" s="58" customFormat="1" ht="15.75" thickBot="1">
      <c r="A69" s="69" t="s">
        <v>96</v>
      </c>
      <c r="B69" s="103">
        <v>480</v>
      </c>
      <c r="C69" s="104">
        <v>240</v>
      </c>
      <c r="D69" s="103">
        <v>120</v>
      </c>
      <c r="E69" s="104">
        <v>0</v>
      </c>
      <c r="F69" s="103">
        <v>0</v>
      </c>
      <c r="G69" s="104">
        <v>0</v>
      </c>
      <c r="H69" s="103">
        <v>0</v>
      </c>
      <c r="I69" s="104">
        <v>0</v>
      </c>
      <c r="J69" s="103">
        <v>0</v>
      </c>
      <c r="K69" s="104">
        <v>0</v>
      </c>
      <c r="L69" s="59" t="s">
        <v>13</v>
      </c>
      <c r="M69" s="60" t="s">
        <v>429</v>
      </c>
      <c r="N69" s="59" t="s">
        <v>15</v>
      </c>
      <c r="O69" s="70" t="s">
        <v>446</v>
      </c>
      <c r="P69" s="99"/>
      <c r="Q69" s="99"/>
      <c r="R69" s="99"/>
      <c r="S69" s="99"/>
      <c r="T69" s="99"/>
      <c r="U69" s="99"/>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row>
    <row r="70" spans="1:107" s="58" customFormat="1">
      <c r="A70" s="74" t="s">
        <v>97</v>
      </c>
      <c r="B70" s="107">
        <v>800</v>
      </c>
      <c r="C70" s="108">
        <v>800</v>
      </c>
      <c r="D70" s="107">
        <v>800</v>
      </c>
      <c r="E70" s="108">
        <v>800</v>
      </c>
      <c r="F70" s="107">
        <v>800</v>
      </c>
      <c r="G70" s="108">
        <v>800</v>
      </c>
      <c r="H70" s="107">
        <v>800</v>
      </c>
      <c r="I70" s="108">
        <v>800</v>
      </c>
      <c r="J70" s="107">
        <v>800</v>
      </c>
      <c r="K70" s="108">
        <v>800</v>
      </c>
      <c r="L70" s="75" t="s">
        <v>13</v>
      </c>
      <c r="M70" s="76" t="s">
        <v>429</v>
      </c>
      <c r="N70" s="75" t="s">
        <v>15</v>
      </c>
      <c r="O70" s="77" t="s">
        <v>446</v>
      </c>
      <c r="P70" s="99"/>
      <c r="Q70" s="99"/>
      <c r="R70" s="99"/>
      <c r="S70" s="99"/>
      <c r="T70" s="99"/>
      <c r="U70" s="99"/>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row>
    <row r="71" spans="1:107" s="58" customFormat="1" ht="15.75" thickBot="1">
      <c r="A71" s="99"/>
      <c r="B71" s="105"/>
      <c r="C71" s="105"/>
      <c r="D71" s="105"/>
      <c r="E71" s="105"/>
      <c r="F71" s="105"/>
      <c r="G71" s="105"/>
      <c r="H71" s="105"/>
      <c r="I71" s="105"/>
      <c r="J71" s="105"/>
      <c r="K71" s="105"/>
      <c r="L71" s="99"/>
      <c r="M71" s="99"/>
      <c r="N71" s="99"/>
      <c r="O71" s="99"/>
      <c r="P71" s="99"/>
      <c r="Q71" s="99"/>
      <c r="R71" s="99"/>
      <c r="S71" s="99"/>
      <c r="T71" s="99"/>
      <c r="U71" s="99"/>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row>
    <row r="72" spans="1:107" ht="15.75" thickBot="1">
      <c r="A72" s="3" t="s">
        <v>439</v>
      </c>
      <c r="B72" s="106">
        <f>SUMIF(wincapsSStable[[FuelType]:[FuelType]],"Wind",wincapsSStable[2019])*0.067</f>
        <v>111.14630000000001</v>
      </c>
      <c r="C72" s="106">
        <f>SUMIF(wincapsSStable[[FuelType]:[FuelType]],"Wind",wincapsSStable[2020])*0.067</f>
        <v>111.14630000000001</v>
      </c>
      <c r="D72" s="106">
        <f>SUMIF(wincapsSStable[[FuelType]:[FuelType]],"Wind",wincapsSStable[2021])*0.067</f>
        <v>111.14630000000001</v>
      </c>
      <c r="E72" s="106">
        <f>SUMIF(wincapsSStable[[FuelType]:[FuelType]],"Wind",wincapsSStable[2022])*0.067</f>
        <v>111.14630000000001</v>
      </c>
      <c r="F72" s="106">
        <f>SUMIF(wincapsSStable[[FuelType]:[FuelType]],"Wind",wincapsSStable[2023])*0.067</f>
        <v>111.14630000000001</v>
      </c>
      <c r="G72" s="106">
        <f>SUMIF(wincapsSStable[[FuelType]:[FuelType]],"Wind",wincapsSStable[2024])*0.067</f>
        <v>111.14630000000001</v>
      </c>
      <c r="H72" s="106">
        <f>SUMIF(wincapsSStable[[FuelType]:[FuelType]],"Wind",wincapsSStable[2025])*0.067</f>
        <v>111.14630000000001</v>
      </c>
      <c r="I72" s="106">
        <f>SUMIF(wincapsSStable[[FuelType]:[FuelType]],"Wind",wincapsSStable[2026])*0.067</f>
        <v>111.14630000000001</v>
      </c>
      <c r="J72" s="106">
        <f>SUMIF(wincapsSStable[[FuelType]:[FuelType]],"Wind",wincapsSStable[2027])*0.067</f>
        <v>111.14630000000001</v>
      </c>
      <c r="K72" s="106">
        <f>SUMIF(wincapsSStable[[FuelType]:[FuelType]],"Wind",wincapsSStable[2028])*0.067</f>
        <v>111.14630000000001</v>
      </c>
      <c r="L72" s="59" t="s">
        <v>18</v>
      </c>
      <c r="M72" s="64"/>
      <c r="N72" s="63"/>
      <c r="O72" s="64"/>
    </row>
    <row r="73" spans="1:107" s="58" customFormat="1" ht="15.75" thickBot="1">
      <c r="A73" s="3" t="s">
        <v>440</v>
      </c>
      <c r="B73" s="103" t="s">
        <v>441</v>
      </c>
      <c r="C73" s="104" t="s">
        <v>441</v>
      </c>
      <c r="D73" s="103" t="s">
        <v>441</v>
      </c>
      <c r="E73" s="104" t="s">
        <v>441</v>
      </c>
      <c r="F73" s="103" t="s">
        <v>441</v>
      </c>
      <c r="G73" s="104" t="s">
        <v>441</v>
      </c>
      <c r="H73" s="103" t="s">
        <v>441</v>
      </c>
      <c r="I73" s="104" t="s">
        <v>441</v>
      </c>
      <c r="J73" s="103" t="s">
        <v>441</v>
      </c>
      <c r="K73" s="104" t="s">
        <v>441</v>
      </c>
      <c r="L73" s="59" t="s">
        <v>18</v>
      </c>
      <c r="M73" s="63"/>
      <c r="N73" s="63"/>
      <c r="O73" s="64"/>
      <c r="P73" s="64"/>
      <c r="Q73" s="64"/>
      <c r="R73" s="64"/>
      <c r="S73" s="64"/>
      <c r="T73" s="64"/>
      <c r="U73" s="64"/>
      <c r="V73" s="64"/>
      <c r="W73" s="64"/>
      <c r="X73" s="64"/>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row>
    <row r="74" spans="1:107" s="58" customFormat="1" ht="15.75" thickBot="1">
      <c r="A74" s="3" t="s">
        <v>102</v>
      </c>
      <c r="B74" s="106">
        <f>SUM(wincapsStable[2019])+B72</f>
        <v>3448.4462999999996</v>
      </c>
      <c r="C74" s="106">
        <f>SUM(wincapsStable[2020])+C72</f>
        <v>3171.9463000000001</v>
      </c>
      <c r="D74" s="106">
        <f>SUM(wincapsStable[2021])+D72</f>
        <v>3051.9463000000001</v>
      </c>
      <c r="E74" s="106">
        <f>SUM(wincapsStable[2022])+E72</f>
        <v>2931.9463000000001</v>
      </c>
      <c r="F74" s="106">
        <f>SUM(wincapsStable[2023])+F72</f>
        <v>2931.9463000000001</v>
      </c>
      <c r="G74" s="106">
        <f>SUM(wincapsStable[2024])+G72</f>
        <v>2931.9463000000001</v>
      </c>
      <c r="H74" s="106">
        <f>SUM(wincapsStable[2025])+H72</f>
        <v>2931.9463000000001</v>
      </c>
      <c r="I74" s="106">
        <f>SUM(wincapsStable[2026])+I72</f>
        <v>2931.9463000000001</v>
      </c>
      <c r="J74" s="106">
        <f>SUM(wincapsStable[2027])+J72</f>
        <v>2931.9463000000001</v>
      </c>
      <c r="K74" s="106">
        <f>SUM(wincapsStable[2028])+K72</f>
        <v>2931.9463000000001</v>
      </c>
      <c r="L74" s="62"/>
      <c r="M74" s="64"/>
      <c r="N74" s="64"/>
      <c r="O74" s="64"/>
      <c r="P74" s="64"/>
      <c r="Q74" s="64"/>
      <c r="R74" s="64"/>
      <c r="S74" s="64"/>
      <c r="T74" s="64"/>
      <c r="U74" s="64"/>
      <c r="V74" s="64"/>
      <c r="W74" s="64"/>
      <c r="X74" s="64"/>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row>
    <row r="75" spans="1:107" s="58" customFormat="1" ht="15.75" thickBot="1">
      <c r="A75" s="99"/>
      <c r="B75" s="68"/>
      <c r="C75" s="68"/>
      <c r="D75" s="68"/>
      <c r="E75" s="68"/>
      <c r="F75" s="68"/>
      <c r="G75" s="68"/>
      <c r="H75" s="68"/>
      <c r="I75" s="68"/>
      <c r="J75" s="68"/>
      <c r="K75" s="68"/>
      <c r="L75" s="99"/>
      <c r="M75" s="64"/>
      <c r="N75" s="64"/>
      <c r="O75" s="64"/>
      <c r="P75" s="64"/>
      <c r="Q75" s="64"/>
      <c r="R75" s="64"/>
      <c r="S75" s="64"/>
      <c r="T75" s="64"/>
      <c r="U75" s="64"/>
      <c r="V75" s="64"/>
      <c r="W75" s="64"/>
      <c r="X75" s="64"/>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row>
    <row r="76" spans="1:107" ht="20.25" thickBot="1">
      <c r="A76" s="67" t="s">
        <v>450</v>
      </c>
      <c r="M76" s="64"/>
      <c r="N76" s="64"/>
      <c r="O76" s="64"/>
      <c r="P76" s="64"/>
      <c r="Q76" s="64"/>
      <c r="R76" s="64"/>
      <c r="S76" s="64"/>
      <c r="T76" s="64"/>
      <c r="U76" s="64"/>
      <c r="V76" s="64"/>
      <c r="W76" s="64"/>
      <c r="X76" s="64"/>
    </row>
    <row r="77" spans="1:107" ht="15.75" thickBot="1">
      <c r="A77" s="100" t="s">
        <v>426</v>
      </c>
      <c r="B77" s="100" t="s">
        <v>504</v>
      </c>
      <c r="C77" s="100" t="s">
        <v>505</v>
      </c>
      <c r="D77" s="100" t="s">
        <v>506</v>
      </c>
      <c r="E77" s="100" t="s">
        <v>507</v>
      </c>
      <c r="F77" s="100" t="s">
        <v>508</v>
      </c>
      <c r="G77" s="100" t="s">
        <v>509</v>
      </c>
      <c r="H77" s="100" t="s">
        <v>510</v>
      </c>
      <c r="I77" s="100" t="s">
        <v>511</v>
      </c>
      <c r="J77" s="100" t="s">
        <v>512</v>
      </c>
      <c r="K77" s="100" t="s">
        <v>513</v>
      </c>
      <c r="L77" s="100" t="s">
        <v>500</v>
      </c>
      <c r="M77" s="72" t="s">
        <v>427</v>
      </c>
      <c r="N77" s="72" t="s">
        <v>7</v>
      </c>
      <c r="O77" s="73" t="s">
        <v>428</v>
      </c>
      <c r="P77" s="64"/>
      <c r="Q77" s="64"/>
      <c r="R77" s="64"/>
      <c r="S77" s="64"/>
      <c r="T77" s="64"/>
      <c r="U77" s="64"/>
      <c r="V77" s="64"/>
      <c r="W77" s="64"/>
      <c r="X77" s="64"/>
    </row>
    <row r="78" spans="1:107" s="58" customFormat="1" ht="15.75" thickBot="1">
      <c r="A78" s="69" t="s">
        <v>219</v>
      </c>
      <c r="B78" s="103">
        <v>110</v>
      </c>
      <c r="C78" s="104">
        <v>110</v>
      </c>
      <c r="D78" s="103">
        <v>110</v>
      </c>
      <c r="E78" s="104">
        <v>110</v>
      </c>
      <c r="F78" s="103">
        <v>110</v>
      </c>
      <c r="G78" s="104">
        <v>110</v>
      </c>
      <c r="H78" s="103">
        <v>110</v>
      </c>
      <c r="I78" s="104">
        <v>110</v>
      </c>
      <c r="J78" s="103">
        <v>110</v>
      </c>
      <c r="K78" s="104">
        <v>110</v>
      </c>
      <c r="L78" s="59" t="s">
        <v>18</v>
      </c>
      <c r="M78" s="60" t="s">
        <v>28</v>
      </c>
      <c r="N78" s="59" t="s">
        <v>15</v>
      </c>
      <c r="O78" s="70" t="s">
        <v>446</v>
      </c>
      <c r="P78" s="99"/>
      <c r="Q78" s="99"/>
      <c r="R78" s="99"/>
      <c r="S78" s="99"/>
      <c r="T78" s="99"/>
      <c r="U78" s="99"/>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row>
    <row r="79" spans="1:107" s="58" customFormat="1" ht="15.75" thickBot="1">
      <c r="A79" s="69" t="s">
        <v>222</v>
      </c>
      <c r="B79" s="103">
        <v>110</v>
      </c>
      <c r="C79" s="104">
        <v>110</v>
      </c>
      <c r="D79" s="103">
        <v>110</v>
      </c>
      <c r="E79" s="104">
        <v>110</v>
      </c>
      <c r="F79" s="103">
        <v>110</v>
      </c>
      <c r="G79" s="104">
        <v>110</v>
      </c>
      <c r="H79" s="103">
        <v>110</v>
      </c>
      <c r="I79" s="104">
        <v>110</v>
      </c>
      <c r="J79" s="103">
        <v>110</v>
      </c>
      <c r="K79" s="104">
        <v>110</v>
      </c>
      <c r="L79" s="59" t="s">
        <v>18</v>
      </c>
      <c r="M79" s="60" t="s">
        <v>28</v>
      </c>
      <c r="N79" s="59" t="s">
        <v>15</v>
      </c>
      <c r="O79" s="70" t="s">
        <v>446</v>
      </c>
      <c r="P79" s="99"/>
      <c r="Q79" s="99"/>
      <c r="R79" s="99"/>
      <c r="S79" s="99"/>
      <c r="T79" s="99"/>
      <c r="U79" s="99"/>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row>
    <row r="80" spans="1:107" s="58" customFormat="1" ht="15.75" thickBot="1">
      <c r="A80" s="69" t="s">
        <v>571</v>
      </c>
      <c r="B80" s="103">
        <v>56.7</v>
      </c>
      <c r="C80" s="104">
        <v>56.7</v>
      </c>
      <c r="D80" s="103">
        <v>56.7</v>
      </c>
      <c r="E80" s="104">
        <v>56.7</v>
      </c>
      <c r="F80" s="103">
        <v>56.7</v>
      </c>
      <c r="G80" s="104">
        <v>56.7</v>
      </c>
      <c r="H80" s="103">
        <v>56.7</v>
      </c>
      <c r="I80" s="104">
        <v>56.7</v>
      </c>
      <c r="J80" s="103">
        <v>56.7</v>
      </c>
      <c r="K80" s="104">
        <v>56.7</v>
      </c>
      <c r="L80" s="59" t="s">
        <v>18</v>
      </c>
      <c r="M80" s="60" t="s">
        <v>17</v>
      </c>
      <c r="N80" s="59" t="s">
        <v>15</v>
      </c>
      <c r="O80" s="70" t="s">
        <v>446</v>
      </c>
      <c r="P80" s="99"/>
      <c r="Q80" s="99"/>
      <c r="R80" s="99"/>
      <c r="S80" s="99"/>
      <c r="T80" s="99"/>
      <c r="U80" s="99"/>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row>
    <row r="81" spans="1:107" s="58" customFormat="1" ht="15.75" thickBot="1">
      <c r="A81" s="69" t="s">
        <v>37</v>
      </c>
      <c r="B81" s="103">
        <v>132.30000000000001</v>
      </c>
      <c r="C81" s="104">
        <v>132.30000000000001</v>
      </c>
      <c r="D81" s="103">
        <v>132.30000000000001</v>
      </c>
      <c r="E81" s="104">
        <v>132.30000000000001</v>
      </c>
      <c r="F81" s="103">
        <v>132.30000000000001</v>
      </c>
      <c r="G81" s="104">
        <v>132.30000000000001</v>
      </c>
      <c r="H81" s="103">
        <v>132.30000000000001</v>
      </c>
      <c r="I81" s="104">
        <v>132.30000000000001</v>
      </c>
      <c r="J81" s="103">
        <v>132.30000000000001</v>
      </c>
      <c r="K81" s="104">
        <v>132.30000000000001</v>
      </c>
      <c r="L81" s="59" t="s">
        <v>18</v>
      </c>
      <c r="M81" s="60" t="s">
        <v>17</v>
      </c>
      <c r="N81" s="59" t="s">
        <v>15</v>
      </c>
      <c r="O81" s="70" t="s">
        <v>446</v>
      </c>
      <c r="P81" s="99"/>
      <c r="Q81" s="99"/>
      <c r="R81" s="99"/>
      <c r="S81" s="99"/>
      <c r="T81" s="99"/>
      <c r="U81" s="99"/>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row>
    <row r="82" spans="1:107" s="58" customFormat="1" ht="15.75" thickBot="1">
      <c r="A82" s="69" t="s">
        <v>40</v>
      </c>
      <c r="B82" s="103">
        <v>52.5</v>
      </c>
      <c r="C82" s="104">
        <v>52.5</v>
      </c>
      <c r="D82" s="103">
        <v>52.5</v>
      </c>
      <c r="E82" s="104">
        <v>52.5</v>
      </c>
      <c r="F82" s="103">
        <v>52.5</v>
      </c>
      <c r="G82" s="104">
        <v>52.5</v>
      </c>
      <c r="H82" s="103">
        <v>52.5</v>
      </c>
      <c r="I82" s="104">
        <v>52.5</v>
      </c>
      <c r="J82" s="103">
        <v>52.5</v>
      </c>
      <c r="K82" s="104">
        <v>52.5</v>
      </c>
      <c r="L82" s="59" t="s">
        <v>18</v>
      </c>
      <c r="M82" s="60" t="s">
        <v>17</v>
      </c>
      <c r="N82" s="59" t="s">
        <v>15</v>
      </c>
      <c r="O82" s="70" t="s">
        <v>446</v>
      </c>
      <c r="P82" s="99"/>
      <c r="Q82" s="99"/>
      <c r="R82" s="99"/>
      <c r="S82" s="99"/>
      <c r="T82" s="99"/>
      <c r="U82" s="99"/>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row>
    <row r="83" spans="1:107" s="58" customFormat="1" ht="15.75" thickBot="1">
      <c r="A83" s="69" t="s">
        <v>46</v>
      </c>
      <c r="B83" s="103">
        <v>94.5</v>
      </c>
      <c r="C83" s="104">
        <v>94.5</v>
      </c>
      <c r="D83" s="103">
        <v>94.5</v>
      </c>
      <c r="E83" s="104">
        <v>94.5</v>
      </c>
      <c r="F83" s="103">
        <v>94.5</v>
      </c>
      <c r="G83" s="104">
        <v>94.5</v>
      </c>
      <c r="H83" s="103">
        <v>94.5</v>
      </c>
      <c r="I83" s="104">
        <v>94.5</v>
      </c>
      <c r="J83" s="103">
        <v>94.5</v>
      </c>
      <c r="K83" s="104">
        <v>94.5</v>
      </c>
      <c r="L83" s="59" t="s">
        <v>18</v>
      </c>
      <c r="M83" s="60" t="s">
        <v>17</v>
      </c>
      <c r="N83" s="59" t="s">
        <v>15</v>
      </c>
      <c r="O83" s="70" t="s">
        <v>446</v>
      </c>
      <c r="P83" s="99"/>
      <c r="Q83" s="99"/>
      <c r="R83" s="99"/>
      <c r="S83" s="99"/>
      <c r="T83" s="99"/>
      <c r="U83" s="99"/>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row>
    <row r="84" spans="1:107" s="58" customFormat="1" ht="15.75" thickBot="1">
      <c r="A84" s="69" t="s">
        <v>49</v>
      </c>
      <c r="B84" s="103">
        <v>71.400000000000006</v>
      </c>
      <c r="C84" s="104">
        <v>71.400000000000006</v>
      </c>
      <c r="D84" s="103">
        <v>71.400000000000006</v>
      </c>
      <c r="E84" s="104">
        <v>71.400000000000006</v>
      </c>
      <c r="F84" s="103">
        <v>71.400000000000006</v>
      </c>
      <c r="G84" s="104">
        <v>71.400000000000006</v>
      </c>
      <c r="H84" s="103">
        <v>71.400000000000006</v>
      </c>
      <c r="I84" s="104">
        <v>71.400000000000006</v>
      </c>
      <c r="J84" s="103">
        <v>71.400000000000006</v>
      </c>
      <c r="K84" s="104">
        <v>71.400000000000006</v>
      </c>
      <c r="L84" s="59" t="s">
        <v>18</v>
      </c>
      <c r="M84" s="60" t="s">
        <v>17</v>
      </c>
      <c r="N84" s="59" t="s">
        <v>15</v>
      </c>
      <c r="O84" s="70" t="s">
        <v>446</v>
      </c>
      <c r="P84" s="99"/>
      <c r="Q84" s="99"/>
      <c r="R84" s="99"/>
      <c r="S84" s="99"/>
      <c r="T84" s="99"/>
      <c r="U84" s="99"/>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row>
    <row r="85" spans="1:107" s="58" customFormat="1" ht="15.75" thickBot="1">
      <c r="A85" s="69" t="s">
        <v>55</v>
      </c>
      <c r="B85" s="103">
        <v>100</v>
      </c>
      <c r="C85" s="104">
        <v>100</v>
      </c>
      <c r="D85" s="103">
        <v>100</v>
      </c>
      <c r="E85" s="104">
        <v>100</v>
      </c>
      <c r="F85" s="103">
        <v>100</v>
      </c>
      <c r="G85" s="104">
        <v>100</v>
      </c>
      <c r="H85" s="103">
        <v>100</v>
      </c>
      <c r="I85" s="104">
        <v>100</v>
      </c>
      <c r="J85" s="103">
        <v>100</v>
      </c>
      <c r="K85" s="104">
        <v>100</v>
      </c>
      <c r="L85" s="59" t="s">
        <v>18</v>
      </c>
      <c r="M85" s="60" t="s">
        <v>17</v>
      </c>
      <c r="N85" s="59" t="s">
        <v>15</v>
      </c>
      <c r="O85" s="70" t="s">
        <v>446</v>
      </c>
      <c r="P85" s="99"/>
      <c r="Q85" s="99"/>
      <c r="R85" s="99"/>
      <c r="S85" s="99"/>
      <c r="T85" s="99"/>
      <c r="U85" s="99"/>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row>
    <row r="86" spans="1:107" s="58" customFormat="1" ht="15.75" thickBot="1">
      <c r="A86" s="69" t="s">
        <v>58</v>
      </c>
      <c r="B86" s="103">
        <v>100</v>
      </c>
      <c r="C86" s="104">
        <v>100</v>
      </c>
      <c r="D86" s="103">
        <v>100</v>
      </c>
      <c r="E86" s="104">
        <v>100</v>
      </c>
      <c r="F86" s="103">
        <v>100</v>
      </c>
      <c r="G86" s="104">
        <v>100</v>
      </c>
      <c r="H86" s="103">
        <v>100</v>
      </c>
      <c r="I86" s="104">
        <v>100</v>
      </c>
      <c r="J86" s="103">
        <v>100</v>
      </c>
      <c r="K86" s="104">
        <v>100</v>
      </c>
      <c r="L86" s="59" t="s">
        <v>18</v>
      </c>
      <c r="M86" s="60" t="s">
        <v>17</v>
      </c>
      <c r="N86" s="59" t="s">
        <v>15</v>
      </c>
      <c r="O86" s="70" t="s">
        <v>446</v>
      </c>
      <c r="P86" s="99"/>
      <c r="Q86" s="99"/>
      <c r="R86" s="99"/>
      <c r="S86" s="99"/>
      <c r="T86" s="99"/>
      <c r="U86" s="99"/>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row>
    <row r="87" spans="1:107" s="58" customFormat="1" ht="15.75" thickBot="1">
      <c r="A87" s="69" t="s">
        <v>60</v>
      </c>
      <c r="B87" s="103">
        <v>109</v>
      </c>
      <c r="C87" s="104">
        <v>109</v>
      </c>
      <c r="D87" s="103">
        <v>109</v>
      </c>
      <c r="E87" s="104">
        <v>109</v>
      </c>
      <c r="F87" s="103">
        <v>109</v>
      </c>
      <c r="G87" s="104">
        <v>109</v>
      </c>
      <c r="H87" s="103">
        <v>109</v>
      </c>
      <c r="I87" s="104">
        <v>109</v>
      </c>
      <c r="J87" s="103">
        <v>109</v>
      </c>
      <c r="K87" s="104">
        <v>109</v>
      </c>
      <c r="L87" s="59" t="s">
        <v>18</v>
      </c>
      <c r="M87" s="60" t="s">
        <v>17</v>
      </c>
      <c r="N87" s="59" t="s">
        <v>15</v>
      </c>
      <c r="O87" s="70" t="s">
        <v>446</v>
      </c>
      <c r="P87" s="99"/>
      <c r="Q87" s="99"/>
      <c r="R87" s="99"/>
      <c r="S87" s="99"/>
      <c r="T87" s="99"/>
      <c r="U87" s="99"/>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row>
    <row r="88" spans="1:107" s="58" customFormat="1" ht="15.75" thickBot="1">
      <c r="A88" s="69" t="s">
        <v>65</v>
      </c>
      <c r="B88" s="103">
        <v>159</v>
      </c>
      <c r="C88" s="104">
        <v>159</v>
      </c>
      <c r="D88" s="103">
        <v>159</v>
      </c>
      <c r="E88" s="104">
        <v>159</v>
      </c>
      <c r="F88" s="103">
        <v>159</v>
      </c>
      <c r="G88" s="104">
        <v>159</v>
      </c>
      <c r="H88" s="103">
        <v>159</v>
      </c>
      <c r="I88" s="104">
        <v>159</v>
      </c>
      <c r="J88" s="103">
        <v>159</v>
      </c>
      <c r="K88" s="104">
        <v>159</v>
      </c>
      <c r="L88" s="59" t="s">
        <v>18</v>
      </c>
      <c r="M88" s="60" t="s">
        <v>17</v>
      </c>
      <c r="N88" s="59" t="s">
        <v>15</v>
      </c>
      <c r="O88" s="70" t="s">
        <v>446</v>
      </c>
      <c r="P88" s="99"/>
      <c r="Q88" s="99"/>
      <c r="R88" s="99"/>
      <c r="S88" s="99"/>
      <c r="T88" s="99"/>
      <c r="U88" s="99"/>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row>
    <row r="89" spans="1:107" s="58" customFormat="1" ht="15.75" thickBot="1">
      <c r="A89" s="69" t="s">
        <v>68</v>
      </c>
      <c r="B89" s="103">
        <v>39</v>
      </c>
      <c r="C89" s="104">
        <v>39</v>
      </c>
      <c r="D89" s="103">
        <v>39</v>
      </c>
      <c r="E89" s="104">
        <v>39</v>
      </c>
      <c r="F89" s="103">
        <v>39</v>
      </c>
      <c r="G89" s="104">
        <v>39</v>
      </c>
      <c r="H89" s="103">
        <v>39</v>
      </c>
      <c r="I89" s="104">
        <v>39</v>
      </c>
      <c r="J89" s="103">
        <v>39</v>
      </c>
      <c r="K89" s="104">
        <v>39</v>
      </c>
      <c r="L89" s="59" t="s">
        <v>18</v>
      </c>
      <c r="M89" s="60" t="s">
        <v>17</v>
      </c>
      <c r="N89" s="59" t="s">
        <v>15</v>
      </c>
      <c r="O89" s="70" t="s">
        <v>446</v>
      </c>
      <c r="P89" s="99"/>
      <c r="Q89" s="99"/>
      <c r="R89" s="99"/>
      <c r="S89" s="99"/>
      <c r="T89" s="99"/>
      <c r="U89" s="99"/>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row>
    <row r="90" spans="1:107" s="58" customFormat="1" ht="15.75" thickBot="1">
      <c r="A90" s="69" t="s">
        <v>107</v>
      </c>
      <c r="B90" s="103">
        <v>126</v>
      </c>
      <c r="C90" s="104">
        <v>126</v>
      </c>
      <c r="D90" s="103">
        <v>126</v>
      </c>
      <c r="E90" s="104">
        <v>126</v>
      </c>
      <c r="F90" s="103">
        <v>126</v>
      </c>
      <c r="G90" s="104">
        <v>126</v>
      </c>
      <c r="H90" s="103">
        <v>126</v>
      </c>
      <c r="I90" s="104">
        <v>126</v>
      </c>
      <c r="J90" s="103">
        <v>126</v>
      </c>
      <c r="K90" s="104">
        <v>126</v>
      </c>
      <c r="L90" s="59" t="s">
        <v>18</v>
      </c>
      <c r="M90" s="60" t="s">
        <v>17</v>
      </c>
      <c r="N90" s="59" t="s">
        <v>15</v>
      </c>
      <c r="O90" s="70" t="s">
        <v>446</v>
      </c>
      <c r="P90" s="99"/>
      <c r="Q90" s="99"/>
      <c r="R90" s="99"/>
      <c r="S90" s="99"/>
      <c r="T90" s="99"/>
      <c r="U90" s="99"/>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row>
    <row r="91" spans="1:107" s="58" customFormat="1" ht="15.75" thickBot="1">
      <c r="A91" s="69" t="s">
        <v>573</v>
      </c>
      <c r="B91" s="103">
        <v>270</v>
      </c>
      <c r="C91" s="104">
        <v>270</v>
      </c>
      <c r="D91" s="103">
        <v>270</v>
      </c>
      <c r="E91" s="104">
        <v>270</v>
      </c>
      <c r="F91" s="103">
        <v>270</v>
      </c>
      <c r="G91" s="104">
        <v>270</v>
      </c>
      <c r="H91" s="103">
        <v>270</v>
      </c>
      <c r="I91" s="104">
        <v>270</v>
      </c>
      <c r="J91" s="103">
        <v>270</v>
      </c>
      <c r="K91" s="104">
        <v>270</v>
      </c>
      <c r="L91" s="59" t="s">
        <v>18</v>
      </c>
      <c r="M91" s="60" t="s">
        <v>17</v>
      </c>
      <c r="N91" s="59" t="s">
        <v>15</v>
      </c>
      <c r="O91" s="70" t="s">
        <v>446</v>
      </c>
      <c r="P91" s="99"/>
      <c r="Q91" s="99"/>
      <c r="R91" s="99"/>
      <c r="S91" s="99"/>
      <c r="T91" s="99"/>
      <c r="U91" s="99"/>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row>
    <row r="92" spans="1:107" s="58" customFormat="1" ht="15.75" thickBot="1">
      <c r="A92" s="69" t="s">
        <v>574</v>
      </c>
      <c r="B92" s="103">
        <v>98.7</v>
      </c>
      <c r="C92" s="104">
        <v>98.7</v>
      </c>
      <c r="D92" s="103">
        <v>98.7</v>
      </c>
      <c r="E92" s="104">
        <v>98.7</v>
      </c>
      <c r="F92" s="103">
        <v>98.7</v>
      </c>
      <c r="G92" s="104">
        <v>98.7</v>
      </c>
      <c r="H92" s="103">
        <v>98.7</v>
      </c>
      <c r="I92" s="104">
        <v>98.7</v>
      </c>
      <c r="J92" s="103">
        <v>98.7</v>
      </c>
      <c r="K92" s="104">
        <v>98.7</v>
      </c>
      <c r="L92" s="59" t="s">
        <v>18</v>
      </c>
      <c r="M92" s="60" t="s">
        <v>17</v>
      </c>
      <c r="N92" s="59" t="s">
        <v>15</v>
      </c>
      <c r="O92" s="70" t="s">
        <v>446</v>
      </c>
      <c r="P92" s="99"/>
      <c r="Q92" s="99"/>
      <c r="R92" s="99"/>
      <c r="S92" s="99"/>
      <c r="T92" s="99"/>
      <c r="U92" s="99"/>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row>
    <row r="93" spans="1:107" s="58" customFormat="1" ht="15.75" thickBot="1">
      <c r="A93" s="69" t="s">
        <v>112</v>
      </c>
      <c r="B93" s="103">
        <v>95</v>
      </c>
      <c r="C93" s="104">
        <v>95</v>
      </c>
      <c r="D93" s="103">
        <v>95</v>
      </c>
      <c r="E93" s="104">
        <v>95</v>
      </c>
      <c r="F93" s="103">
        <v>95</v>
      </c>
      <c r="G93" s="104">
        <v>95</v>
      </c>
      <c r="H93" s="103">
        <v>95</v>
      </c>
      <c r="I93" s="104">
        <v>95</v>
      </c>
      <c r="J93" s="103">
        <v>95</v>
      </c>
      <c r="K93" s="104">
        <v>95</v>
      </c>
      <c r="L93" s="59" t="s">
        <v>18</v>
      </c>
      <c r="M93" s="60" t="s">
        <v>28</v>
      </c>
      <c r="N93" s="59" t="s">
        <v>15</v>
      </c>
      <c r="O93" s="70" t="s">
        <v>446</v>
      </c>
      <c r="P93" s="99"/>
      <c r="Q93" s="99"/>
      <c r="R93" s="99"/>
      <c r="S93" s="99"/>
      <c r="T93" s="99"/>
      <c r="U93" s="99"/>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row>
    <row r="94" spans="1:107" s="58" customFormat="1" ht="15.75" thickBot="1">
      <c r="A94" s="69" t="s">
        <v>576</v>
      </c>
      <c r="B94" s="103">
        <v>130.80000000000001</v>
      </c>
      <c r="C94" s="104">
        <v>130.80000000000001</v>
      </c>
      <c r="D94" s="103">
        <v>130.80000000000001</v>
      </c>
      <c r="E94" s="104">
        <v>130.80000000000001</v>
      </c>
      <c r="F94" s="103">
        <v>130.80000000000001</v>
      </c>
      <c r="G94" s="104">
        <v>130.80000000000001</v>
      </c>
      <c r="H94" s="103">
        <v>130.80000000000001</v>
      </c>
      <c r="I94" s="104">
        <v>130.80000000000001</v>
      </c>
      <c r="J94" s="103">
        <v>130.80000000000001</v>
      </c>
      <c r="K94" s="104">
        <v>130.80000000000001</v>
      </c>
      <c r="L94" s="59" t="s">
        <v>18</v>
      </c>
      <c r="M94" s="60" t="s">
        <v>17</v>
      </c>
      <c r="N94" s="59" t="s">
        <v>15</v>
      </c>
      <c r="O94" s="70" t="s">
        <v>446</v>
      </c>
      <c r="P94" s="99"/>
      <c r="Q94" s="99"/>
      <c r="R94" s="99"/>
      <c r="S94" s="99"/>
      <c r="T94" s="99"/>
      <c r="U94" s="99"/>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row>
    <row r="95" spans="1:107" s="58" customFormat="1" ht="15.75" thickBot="1">
      <c r="A95" s="69" t="s">
        <v>113</v>
      </c>
      <c r="B95" s="103">
        <v>119</v>
      </c>
      <c r="C95" s="104">
        <v>119</v>
      </c>
      <c r="D95" s="103">
        <v>119</v>
      </c>
      <c r="E95" s="104">
        <v>119</v>
      </c>
      <c r="F95" s="103">
        <v>119</v>
      </c>
      <c r="G95" s="104">
        <v>119</v>
      </c>
      <c r="H95" s="103">
        <v>119</v>
      </c>
      <c r="I95" s="104">
        <v>119</v>
      </c>
      <c r="J95" s="103">
        <v>119</v>
      </c>
      <c r="K95" s="104">
        <v>119</v>
      </c>
      <c r="L95" s="59" t="s">
        <v>18</v>
      </c>
      <c r="M95" s="60" t="s">
        <v>17</v>
      </c>
      <c r="N95" s="59" t="s">
        <v>15</v>
      </c>
      <c r="O95" s="70" t="s">
        <v>446</v>
      </c>
      <c r="P95" s="99"/>
      <c r="Q95" s="99"/>
      <c r="R95" s="99"/>
      <c r="S95" s="99"/>
      <c r="T95" s="99"/>
      <c r="U95" s="99"/>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row>
    <row r="96" spans="1:107" s="58" customFormat="1" ht="15.75" thickBot="1">
      <c r="A96" s="99"/>
      <c r="B96" s="105"/>
      <c r="C96" s="105"/>
      <c r="D96" s="105"/>
      <c r="E96" s="105"/>
      <c r="F96" s="105"/>
      <c r="G96" s="105"/>
      <c r="H96" s="105"/>
      <c r="I96" s="105"/>
      <c r="J96" s="105"/>
      <c r="K96" s="105"/>
      <c r="L96" s="99"/>
      <c r="M96" s="99"/>
      <c r="N96" s="99"/>
      <c r="O96" s="99"/>
      <c r="P96" s="99"/>
      <c r="Q96" s="99"/>
      <c r="R96" s="99"/>
      <c r="S96" s="99"/>
      <c r="T96" s="99"/>
      <c r="U96" s="99"/>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row>
    <row r="97" spans="1:107" s="58" customFormat="1" ht="15.75" thickBot="1">
      <c r="A97" s="61" t="s">
        <v>443</v>
      </c>
      <c r="B97" s="106">
        <f>SUMIF(wincapsSStable[[FuelType]:[FuelType]],"Wind",wincapsSStable[2019])</f>
        <v>1658.9</v>
      </c>
      <c r="C97" s="106">
        <f>SUMIF(wincapsSStable[[FuelType]:[FuelType]],"Wind",wincapsSStable[2020])</f>
        <v>1658.9</v>
      </c>
      <c r="D97" s="106">
        <f>SUMIF(wincapsSStable[[FuelType]:[FuelType]],"Wind",wincapsSStable[2021])</f>
        <v>1658.9</v>
      </c>
      <c r="E97" s="106">
        <f>SUMIF(wincapsSStable[[FuelType]:[FuelType]],"Wind",wincapsSStable[2022])</f>
        <v>1658.9</v>
      </c>
      <c r="F97" s="106">
        <f>SUMIF(wincapsSStable[[FuelType]:[FuelType]],"Wind",wincapsSStable[2023])</f>
        <v>1658.9</v>
      </c>
      <c r="G97" s="106">
        <f>SUMIF(wincapsSStable[[FuelType]:[FuelType]],"Wind",wincapsSStable[2024])</f>
        <v>1658.9</v>
      </c>
      <c r="H97" s="106">
        <f>SUMIF(wincapsSStable[[FuelType]:[FuelType]],"Wind",wincapsSStable[2025])</f>
        <v>1658.9</v>
      </c>
      <c r="I97" s="106">
        <f>SUMIF(wincapsSStable[[FuelType]:[FuelType]],"Wind",wincapsSStable[2026])</f>
        <v>1658.9</v>
      </c>
      <c r="J97" s="106">
        <f>SUMIF(wincapsSStable[[FuelType]:[FuelType]],"Wind",wincapsSStable[2027])</f>
        <v>1658.9</v>
      </c>
      <c r="K97" s="106">
        <f>SUMIF(wincapsSStable[[FuelType]:[FuelType]],"Wind",wincapsSStable[2028])</f>
        <v>1658.9</v>
      </c>
      <c r="L97" s="62"/>
      <c r="M97" s="64"/>
      <c r="N97" s="64"/>
      <c r="O97" s="64"/>
      <c r="P97" s="99"/>
      <c r="Q97" s="99"/>
      <c r="R97" s="99"/>
      <c r="S97" s="99"/>
      <c r="T97" s="99"/>
      <c r="U97" s="99"/>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row>
    <row r="98" spans="1:107" ht="15.75" thickBot="1">
      <c r="A98" s="61" t="s">
        <v>444</v>
      </c>
      <c r="B98" s="106">
        <f>SUMIF(wincapsSStable[[FuelType]:[FuelType]],"Solar",wincapsSStable[2019])</f>
        <v>315</v>
      </c>
      <c r="C98" s="106">
        <f>SUMIF(wincapsSStable[[FuelType]:[FuelType]],"Solar",wincapsSStable[2020])</f>
        <v>315</v>
      </c>
      <c r="D98" s="106">
        <f>SUMIF(wincapsSStable[[FuelType]:[FuelType]],"Solar",wincapsSStable[2021])</f>
        <v>315</v>
      </c>
      <c r="E98" s="106">
        <f>SUMIF(wincapsSStable[[FuelType]:[FuelType]],"Solar",wincapsSStable[2022])</f>
        <v>315</v>
      </c>
      <c r="F98" s="106">
        <f>SUMIF(wincapsSStable[[FuelType]:[FuelType]],"Solar",wincapsSStable[2023])</f>
        <v>315</v>
      </c>
      <c r="G98" s="106">
        <f>SUMIF(wincapsSStable[[FuelType]:[FuelType]],"Solar",wincapsSStable[2024])</f>
        <v>315</v>
      </c>
      <c r="H98" s="106">
        <f>SUMIF(wincapsSStable[[FuelType]:[FuelType]],"Solar",wincapsSStable[2025])</f>
        <v>315</v>
      </c>
      <c r="I98" s="106">
        <f>SUMIF(wincapsSStable[[FuelType]:[FuelType]],"Solar",wincapsSStable[2026])</f>
        <v>315</v>
      </c>
      <c r="J98" s="106">
        <f>SUMIF(wincapsSStable[[FuelType]:[FuelType]],"Solar",wincapsSStable[2027])</f>
        <v>315</v>
      </c>
      <c r="K98" s="106">
        <f>SUMIF(wincapsSStable[[FuelType]:[FuelType]],"Solar",wincapsSStable[2028])</f>
        <v>315</v>
      </c>
      <c r="L98" s="62"/>
      <c r="M98" s="64"/>
      <c r="N98" s="64"/>
      <c r="O98" s="64"/>
    </row>
    <row r="99" spans="1:107" s="58" customFormat="1">
      <c r="A99" s="99"/>
      <c r="B99" s="99"/>
      <c r="C99" s="99"/>
      <c r="D99" s="99"/>
      <c r="E99" s="99"/>
      <c r="F99" s="99"/>
      <c r="G99" s="99"/>
      <c r="H99" s="99"/>
      <c r="I99" s="99"/>
      <c r="J99" s="99"/>
      <c r="K99" s="99"/>
      <c r="L99" s="99"/>
      <c r="M99" s="99"/>
      <c r="N99" s="99"/>
      <c r="O99" s="99"/>
      <c r="P99" s="64"/>
      <c r="Q99" s="64"/>
      <c r="R99" s="64"/>
      <c r="S99" s="64"/>
      <c r="T99" s="64"/>
      <c r="U99" s="64"/>
      <c r="V99" s="64"/>
      <c r="W99" s="64"/>
      <c r="X99" s="64"/>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row>
    <row r="100" spans="1:107" s="58" customFormat="1">
      <c r="A100" s="99"/>
      <c r="B100" s="99"/>
      <c r="C100" s="99"/>
      <c r="D100" s="99"/>
      <c r="E100" s="99"/>
      <c r="F100" s="99"/>
      <c r="G100" s="99"/>
      <c r="H100" s="99"/>
      <c r="I100" s="99"/>
      <c r="J100" s="99"/>
      <c r="K100" s="99"/>
      <c r="L100" s="99"/>
      <c r="M100" s="99"/>
      <c r="N100" s="99"/>
      <c r="O100" s="99"/>
      <c r="P100" s="64"/>
      <c r="Q100" s="64"/>
      <c r="R100" s="64"/>
      <c r="S100" s="64"/>
      <c r="T100" s="64"/>
      <c r="U100" s="64"/>
      <c r="V100" s="64"/>
      <c r="W100" s="64"/>
      <c r="X100" s="64"/>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row>
  </sheetData>
  <mergeCells count="4">
    <mergeCell ref="A44:L44"/>
    <mergeCell ref="A45:L45"/>
    <mergeCell ref="A46:L46"/>
    <mergeCell ref="A47:L47"/>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0"/>
  <sheetViews>
    <sheetView workbookViewId="0"/>
  </sheetViews>
  <sheetFormatPr defaultColWidth="9.140625" defaultRowHeight="15"/>
  <cols>
    <col min="1" max="1" width="34.85546875" style="31" bestFit="1" customWidth="1"/>
    <col min="2" max="2" width="54.85546875" style="31" bestFit="1" customWidth="1"/>
    <col min="3" max="3" width="25.5703125" style="31" bestFit="1" customWidth="1"/>
    <col min="4" max="4" width="26" style="31" bestFit="1" customWidth="1"/>
    <col min="5" max="5" width="22" style="31" bestFit="1" customWidth="1"/>
    <col min="6" max="6" width="16.85546875" style="31" bestFit="1" customWidth="1"/>
    <col min="7" max="7" width="11" style="31" hidden="1" customWidth="1"/>
    <col min="8" max="8" width="19.5703125" style="31" hidden="1" customWidth="1"/>
    <col min="9" max="9" width="26.85546875" style="99" hidden="1" customWidth="1"/>
    <col min="10" max="10" width="26.85546875" style="31" hidden="1" customWidth="1"/>
    <col min="11" max="16384" width="9.140625" style="31"/>
  </cols>
  <sheetData>
    <row r="1" spans="1:9" ht="20.25" thickBot="1">
      <c r="A1" s="67" t="s">
        <v>115</v>
      </c>
    </row>
    <row r="2" spans="1:9" ht="15.75" thickBot="1">
      <c r="A2" s="66" t="s">
        <v>1</v>
      </c>
      <c r="B2" s="66" t="s">
        <v>2</v>
      </c>
      <c r="C2" s="66" t="s">
        <v>116</v>
      </c>
      <c r="D2" s="66" t="s">
        <v>3</v>
      </c>
      <c r="E2" s="66" t="s">
        <v>4</v>
      </c>
      <c r="F2" s="66" t="s">
        <v>6</v>
      </c>
      <c r="G2" s="2" t="s">
        <v>7</v>
      </c>
      <c r="H2" s="2" t="s">
        <v>180</v>
      </c>
      <c r="I2" s="2" t="s">
        <v>176</v>
      </c>
    </row>
    <row r="3" spans="1:9" ht="15.75" thickBot="1">
      <c r="A3" s="82" t="s">
        <v>118</v>
      </c>
      <c r="B3" s="83" t="s">
        <v>119</v>
      </c>
      <c r="C3" s="84">
        <v>1</v>
      </c>
      <c r="D3" s="83" t="s">
        <v>27</v>
      </c>
      <c r="E3" s="84" t="s">
        <v>28</v>
      </c>
      <c r="F3" s="83" t="s">
        <v>117</v>
      </c>
      <c r="G3" s="22" t="s">
        <v>15</v>
      </c>
      <c r="H3" s="13" t="s">
        <v>28</v>
      </c>
      <c r="I3" s="22" t="s">
        <v>171</v>
      </c>
    </row>
    <row r="4" spans="1:9" ht="15.75" thickBot="1">
      <c r="A4" s="85" t="s">
        <v>406</v>
      </c>
      <c r="B4" s="86" t="s">
        <v>158</v>
      </c>
      <c r="C4" s="87">
        <v>0.15079999999999999</v>
      </c>
      <c r="D4" s="86" t="s">
        <v>407</v>
      </c>
      <c r="E4" s="87" t="s">
        <v>28</v>
      </c>
      <c r="F4" s="83" t="s">
        <v>117</v>
      </c>
      <c r="G4" s="21" t="s">
        <v>15</v>
      </c>
      <c r="H4" s="12" t="s">
        <v>28</v>
      </c>
      <c r="I4" s="21" t="s">
        <v>171</v>
      </c>
    </row>
    <row r="5" spans="1:9" ht="15.75" thickBot="1">
      <c r="A5" s="85" t="s">
        <v>121</v>
      </c>
      <c r="B5" s="86" t="s">
        <v>122</v>
      </c>
      <c r="C5" s="87">
        <v>0.505</v>
      </c>
      <c r="D5" s="86" t="s">
        <v>11</v>
      </c>
      <c r="E5" s="87" t="s">
        <v>12</v>
      </c>
      <c r="F5" s="83" t="s">
        <v>117</v>
      </c>
      <c r="G5" s="21" t="s">
        <v>15</v>
      </c>
      <c r="H5" s="12" t="s">
        <v>169</v>
      </c>
      <c r="I5" s="21" t="s">
        <v>171</v>
      </c>
    </row>
    <row r="6" spans="1:9" ht="15.75" thickBot="1">
      <c r="A6" s="85" t="s">
        <v>123</v>
      </c>
      <c r="B6" s="86" t="s">
        <v>124</v>
      </c>
      <c r="C6" s="87">
        <v>10</v>
      </c>
      <c r="D6" s="86" t="s">
        <v>465</v>
      </c>
      <c r="E6" s="87" t="s">
        <v>125</v>
      </c>
      <c r="F6" s="83" t="s">
        <v>117</v>
      </c>
      <c r="G6" s="21" t="s">
        <v>15</v>
      </c>
      <c r="H6" s="12" t="s">
        <v>168</v>
      </c>
      <c r="I6" s="21" t="s">
        <v>171</v>
      </c>
    </row>
    <row r="7" spans="1:9" ht="15.75" thickBot="1">
      <c r="A7" s="85" t="s">
        <v>126</v>
      </c>
      <c r="B7" s="86" t="s">
        <v>127</v>
      </c>
      <c r="C7" s="87">
        <v>5</v>
      </c>
      <c r="D7" s="86" t="s">
        <v>11</v>
      </c>
      <c r="E7" s="87" t="s">
        <v>12</v>
      </c>
      <c r="F7" s="83" t="s">
        <v>117</v>
      </c>
      <c r="G7" s="21" t="s">
        <v>15</v>
      </c>
      <c r="H7" s="12" t="s">
        <v>169</v>
      </c>
      <c r="I7" s="21" t="s">
        <v>171</v>
      </c>
    </row>
    <row r="8" spans="1:9" ht="15.75" thickBot="1">
      <c r="A8" s="85" t="s">
        <v>128</v>
      </c>
      <c r="B8" s="86" t="s">
        <v>129</v>
      </c>
      <c r="C8" s="87">
        <v>46</v>
      </c>
      <c r="D8" s="86" t="s">
        <v>16</v>
      </c>
      <c r="E8" s="87" t="s">
        <v>17</v>
      </c>
      <c r="F8" s="83" t="s">
        <v>117</v>
      </c>
      <c r="G8" s="21" t="s">
        <v>15</v>
      </c>
      <c r="H8" s="12" t="s">
        <v>17</v>
      </c>
      <c r="I8" s="21" t="s">
        <v>171</v>
      </c>
    </row>
    <row r="9" spans="1:9" ht="15.75" thickBot="1">
      <c r="A9" s="85" t="s">
        <v>130</v>
      </c>
      <c r="B9" s="86" t="s">
        <v>131</v>
      </c>
      <c r="C9" s="87">
        <v>66</v>
      </c>
      <c r="D9" s="86" t="s">
        <v>16</v>
      </c>
      <c r="E9" s="87" t="s">
        <v>17</v>
      </c>
      <c r="F9" s="83" t="s">
        <v>117</v>
      </c>
      <c r="G9" s="21" t="s">
        <v>15</v>
      </c>
      <c r="H9" s="12" t="s">
        <v>17</v>
      </c>
      <c r="I9" s="21" t="s">
        <v>171</v>
      </c>
    </row>
    <row r="10" spans="1:9" ht="15.75" thickBot="1">
      <c r="A10" s="85" t="s">
        <v>132</v>
      </c>
      <c r="B10" s="86" t="s">
        <v>26</v>
      </c>
      <c r="C10" s="87">
        <v>4.5</v>
      </c>
      <c r="D10" s="86" t="s">
        <v>32</v>
      </c>
      <c r="E10" s="87" t="s">
        <v>20</v>
      </c>
      <c r="F10" s="83" t="s">
        <v>117</v>
      </c>
      <c r="G10" s="21" t="s">
        <v>15</v>
      </c>
      <c r="H10" s="12" t="s">
        <v>32</v>
      </c>
      <c r="I10" s="21" t="s">
        <v>171</v>
      </c>
    </row>
    <row r="11" spans="1:9" ht="15.75" thickBot="1">
      <c r="A11" s="85" t="s">
        <v>133</v>
      </c>
      <c r="B11" s="86" t="s">
        <v>93</v>
      </c>
      <c r="C11" s="87">
        <v>8</v>
      </c>
      <c r="D11" s="86" t="s">
        <v>11</v>
      </c>
      <c r="E11" s="87" t="s">
        <v>12</v>
      </c>
      <c r="F11" s="83" t="s">
        <v>117</v>
      </c>
      <c r="G11" s="21" t="s">
        <v>15</v>
      </c>
      <c r="H11" s="12" t="s">
        <v>169</v>
      </c>
      <c r="I11" s="21" t="s">
        <v>171</v>
      </c>
    </row>
    <row r="12" spans="1:9" ht="15.75" thickBot="1">
      <c r="A12" s="85" t="s">
        <v>134</v>
      </c>
      <c r="B12" s="86" t="s">
        <v>66</v>
      </c>
      <c r="C12" s="87">
        <v>80.5</v>
      </c>
      <c r="D12" s="86" t="s">
        <v>16</v>
      </c>
      <c r="E12" s="87" t="s">
        <v>17</v>
      </c>
      <c r="F12" s="83" t="s">
        <v>117</v>
      </c>
      <c r="G12" s="21" t="s">
        <v>15</v>
      </c>
      <c r="H12" s="12" t="s">
        <v>17</v>
      </c>
      <c r="I12" s="21" t="s">
        <v>171</v>
      </c>
    </row>
    <row r="13" spans="1:9" ht="15.75" thickBot="1">
      <c r="A13" s="85" t="s">
        <v>135</v>
      </c>
      <c r="B13" s="86" t="s">
        <v>136</v>
      </c>
      <c r="C13" s="87">
        <v>70</v>
      </c>
      <c r="D13" s="86" t="s">
        <v>16</v>
      </c>
      <c r="E13" s="87" t="s">
        <v>17</v>
      </c>
      <c r="F13" s="83" t="s">
        <v>117</v>
      </c>
      <c r="G13" s="21" t="s">
        <v>15</v>
      </c>
      <c r="H13" s="12" t="s">
        <v>17</v>
      </c>
      <c r="I13" s="21" t="s">
        <v>171</v>
      </c>
    </row>
    <row r="14" spans="1:9" ht="15.75" thickBot="1">
      <c r="A14" s="85" t="s">
        <v>408</v>
      </c>
      <c r="B14" s="86" t="s">
        <v>409</v>
      </c>
      <c r="C14" s="87">
        <v>2.3929999999999998</v>
      </c>
      <c r="D14" s="86" t="s">
        <v>410</v>
      </c>
      <c r="E14" s="87" t="s">
        <v>169</v>
      </c>
      <c r="F14" s="83" t="s">
        <v>117</v>
      </c>
      <c r="G14" s="21" t="s">
        <v>15</v>
      </c>
      <c r="H14" s="12" t="s">
        <v>169</v>
      </c>
      <c r="I14" s="21" t="s">
        <v>171</v>
      </c>
    </row>
    <row r="15" spans="1:9" ht="15.75" thickBot="1">
      <c r="A15" s="85" t="s">
        <v>137</v>
      </c>
      <c r="B15" s="86" t="s">
        <v>138</v>
      </c>
      <c r="C15" s="87">
        <v>2.2730000000000001</v>
      </c>
      <c r="D15" s="86" t="s">
        <v>11</v>
      </c>
      <c r="E15" s="87" t="s">
        <v>120</v>
      </c>
      <c r="F15" s="83" t="s">
        <v>117</v>
      </c>
      <c r="G15" s="21" t="s">
        <v>15</v>
      </c>
      <c r="H15" s="12" t="s">
        <v>168</v>
      </c>
      <c r="I15" s="21" t="s">
        <v>171</v>
      </c>
    </row>
    <row r="16" spans="1:9" ht="15.75" thickBot="1">
      <c r="A16" s="85" t="s">
        <v>139</v>
      </c>
      <c r="B16" s="86" t="s">
        <v>140</v>
      </c>
      <c r="C16" s="87">
        <v>4.8949999999999996</v>
      </c>
      <c r="D16" s="86" t="s">
        <v>29</v>
      </c>
      <c r="E16" s="87" t="s">
        <v>28</v>
      </c>
      <c r="F16" s="83" t="s">
        <v>117</v>
      </c>
      <c r="G16" s="21" t="s">
        <v>15</v>
      </c>
      <c r="H16" s="12" t="s">
        <v>28</v>
      </c>
      <c r="I16" s="21" t="s">
        <v>171</v>
      </c>
    </row>
    <row r="17" spans="1:9" ht="15.75" thickBot="1">
      <c r="A17" s="85" t="s">
        <v>411</v>
      </c>
      <c r="B17" s="86" t="s">
        <v>158</v>
      </c>
      <c r="C17" s="87">
        <v>0.21199999999999999</v>
      </c>
      <c r="D17" s="86" t="s">
        <v>407</v>
      </c>
      <c r="E17" s="87" t="s">
        <v>28</v>
      </c>
      <c r="F17" s="83" t="s">
        <v>117</v>
      </c>
      <c r="G17" s="21" t="s">
        <v>15</v>
      </c>
      <c r="H17" s="12" t="s">
        <v>28</v>
      </c>
      <c r="I17" s="21" t="s">
        <v>171</v>
      </c>
    </row>
    <row r="18" spans="1:9" ht="15.75" thickBot="1">
      <c r="A18" s="85" t="s">
        <v>412</v>
      </c>
      <c r="B18" s="86" t="s">
        <v>158</v>
      </c>
      <c r="C18" s="87">
        <v>0.21199999999999999</v>
      </c>
      <c r="D18" s="86" t="s">
        <v>407</v>
      </c>
      <c r="E18" s="87" t="s">
        <v>28</v>
      </c>
      <c r="F18" s="83" t="s">
        <v>117</v>
      </c>
      <c r="G18" s="21" t="s">
        <v>15</v>
      </c>
      <c r="H18" s="12" t="s">
        <v>28</v>
      </c>
      <c r="I18" s="21" t="s">
        <v>171</v>
      </c>
    </row>
    <row r="19" spans="1:9" ht="15.75" thickBot="1">
      <c r="A19" s="85" t="s">
        <v>413</v>
      </c>
      <c r="B19" s="86" t="s">
        <v>158</v>
      </c>
      <c r="C19" s="87">
        <v>0.21199999999999999</v>
      </c>
      <c r="D19" s="86" t="s">
        <v>407</v>
      </c>
      <c r="E19" s="87" t="s">
        <v>28</v>
      </c>
      <c r="F19" s="83" t="s">
        <v>117</v>
      </c>
      <c r="G19" s="21" t="s">
        <v>15</v>
      </c>
      <c r="H19" s="12" t="s">
        <v>28</v>
      </c>
      <c r="I19" s="21" t="s">
        <v>171</v>
      </c>
    </row>
    <row r="20" spans="1:9" ht="15.75" thickBot="1">
      <c r="A20" s="85" t="s">
        <v>414</v>
      </c>
      <c r="B20" s="86" t="s">
        <v>158</v>
      </c>
      <c r="C20" s="87">
        <v>0.21199999999999999</v>
      </c>
      <c r="D20" s="86" t="s">
        <v>407</v>
      </c>
      <c r="E20" s="87" t="s">
        <v>28</v>
      </c>
      <c r="F20" s="83" t="s">
        <v>117</v>
      </c>
      <c r="G20" s="21" t="s">
        <v>15</v>
      </c>
      <c r="H20" s="12" t="s">
        <v>28</v>
      </c>
      <c r="I20" s="21" t="s">
        <v>171</v>
      </c>
    </row>
    <row r="21" spans="1:9" ht="15.75" thickBot="1">
      <c r="A21" s="85" t="s">
        <v>415</v>
      </c>
      <c r="B21" s="86" t="s">
        <v>158</v>
      </c>
      <c r="C21" s="87">
        <v>0.21199999999999999</v>
      </c>
      <c r="D21" s="86" t="s">
        <v>407</v>
      </c>
      <c r="E21" s="87" t="s">
        <v>28</v>
      </c>
      <c r="F21" s="83" t="s">
        <v>117</v>
      </c>
      <c r="G21" s="21" t="s">
        <v>15</v>
      </c>
      <c r="H21" s="12" t="s">
        <v>28</v>
      </c>
      <c r="I21" s="21" t="s">
        <v>171</v>
      </c>
    </row>
    <row r="22" spans="1:9" ht="15.75" thickBot="1">
      <c r="A22" s="85" t="s">
        <v>416</v>
      </c>
      <c r="B22" s="86" t="s">
        <v>158</v>
      </c>
      <c r="C22" s="87">
        <v>0.6</v>
      </c>
      <c r="D22" s="86" t="s">
        <v>407</v>
      </c>
      <c r="E22" s="87" t="s">
        <v>28</v>
      </c>
      <c r="F22" s="83" t="s">
        <v>117</v>
      </c>
      <c r="G22" s="21" t="s">
        <v>15</v>
      </c>
      <c r="H22" s="12" t="s">
        <v>28</v>
      </c>
      <c r="I22" s="21" t="s">
        <v>171</v>
      </c>
    </row>
    <row r="23" spans="1:9" ht="15.75" thickBot="1">
      <c r="A23" s="85" t="s">
        <v>417</v>
      </c>
      <c r="B23" s="86" t="s">
        <v>158</v>
      </c>
      <c r="C23" s="87">
        <v>0.21199999999999999</v>
      </c>
      <c r="D23" s="86" t="s">
        <v>407</v>
      </c>
      <c r="E23" s="87" t="s">
        <v>28</v>
      </c>
      <c r="F23" s="83" t="s">
        <v>117</v>
      </c>
      <c r="G23" s="21" t="s">
        <v>15</v>
      </c>
      <c r="H23" s="12" t="s">
        <v>28</v>
      </c>
      <c r="I23" s="21" t="s">
        <v>171</v>
      </c>
    </row>
    <row r="24" spans="1:9" ht="15.75" thickBot="1">
      <c r="A24" s="85" t="s">
        <v>418</v>
      </c>
      <c r="B24" s="86" t="s">
        <v>158</v>
      </c>
      <c r="C24" s="87">
        <v>0.21199999999999999</v>
      </c>
      <c r="D24" s="86" t="s">
        <v>407</v>
      </c>
      <c r="E24" s="87" t="s">
        <v>28</v>
      </c>
      <c r="F24" s="83" t="s">
        <v>117</v>
      </c>
      <c r="G24" s="21" t="s">
        <v>15</v>
      </c>
      <c r="H24" s="12" t="s">
        <v>28</v>
      </c>
      <c r="I24" s="21" t="s">
        <v>171</v>
      </c>
    </row>
    <row r="25" spans="1:9" ht="15.75" thickBot="1">
      <c r="A25" s="85" t="s">
        <v>419</v>
      </c>
      <c r="B25" s="86" t="s">
        <v>158</v>
      </c>
      <c r="C25" s="87">
        <v>0.21199999999999999</v>
      </c>
      <c r="D25" s="86" t="s">
        <v>407</v>
      </c>
      <c r="E25" s="87" t="s">
        <v>28</v>
      </c>
      <c r="F25" s="83" t="s">
        <v>117</v>
      </c>
      <c r="G25" s="21" t="s">
        <v>15</v>
      </c>
      <c r="H25" s="12" t="s">
        <v>28</v>
      </c>
      <c r="I25" s="21" t="s">
        <v>171</v>
      </c>
    </row>
    <row r="26" spans="1:9" ht="15.75" thickBot="1">
      <c r="A26" s="85" t="s">
        <v>420</v>
      </c>
      <c r="B26" s="86" t="s">
        <v>158</v>
      </c>
      <c r="C26" s="87">
        <v>0.21199999999999999</v>
      </c>
      <c r="D26" s="86" t="s">
        <v>407</v>
      </c>
      <c r="E26" s="87" t="s">
        <v>28</v>
      </c>
      <c r="F26" s="83" t="s">
        <v>117</v>
      </c>
      <c r="G26" s="21" t="s">
        <v>15</v>
      </c>
      <c r="H26" s="12" t="s">
        <v>28</v>
      </c>
      <c r="I26" s="21" t="s">
        <v>171</v>
      </c>
    </row>
    <row r="27" spans="1:9" ht="15.75" thickBot="1">
      <c r="A27" s="85" t="s">
        <v>421</v>
      </c>
      <c r="B27" s="86" t="s">
        <v>158</v>
      </c>
      <c r="C27" s="87">
        <v>0.21199999999999999</v>
      </c>
      <c r="D27" s="86" t="s">
        <v>407</v>
      </c>
      <c r="E27" s="87" t="s">
        <v>28</v>
      </c>
      <c r="F27" s="83" t="s">
        <v>117</v>
      </c>
      <c r="G27" s="21" t="s">
        <v>15</v>
      </c>
      <c r="H27" s="12" t="s">
        <v>28</v>
      </c>
      <c r="I27" s="21" t="s">
        <v>171</v>
      </c>
    </row>
    <row r="28" spans="1:9" ht="15.75" thickBot="1">
      <c r="A28" s="85" t="s">
        <v>422</v>
      </c>
      <c r="B28" s="86" t="s">
        <v>158</v>
      </c>
      <c r="C28" s="87">
        <v>0.51200000000000001</v>
      </c>
      <c r="D28" s="86" t="s">
        <v>407</v>
      </c>
      <c r="E28" s="87" t="s">
        <v>28</v>
      </c>
      <c r="F28" s="83" t="s">
        <v>117</v>
      </c>
      <c r="G28" s="21" t="s">
        <v>15</v>
      </c>
      <c r="H28" s="12" t="s">
        <v>28</v>
      </c>
      <c r="I28" s="21" t="s">
        <v>171</v>
      </c>
    </row>
    <row r="29" spans="1:9" ht="15.75" thickBot="1">
      <c r="A29" s="85" t="s">
        <v>141</v>
      </c>
      <c r="B29" s="86" t="s">
        <v>142</v>
      </c>
      <c r="C29" s="87">
        <v>1.35</v>
      </c>
      <c r="D29" s="86" t="s">
        <v>23</v>
      </c>
      <c r="E29" s="87" t="s">
        <v>22</v>
      </c>
      <c r="F29" s="83" t="s">
        <v>117</v>
      </c>
      <c r="G29" s="21" t="s">
        <v>15</v>
      </c>
      <c r="H29" s="12" t="s">
        <v>22</v>
      </c>
      <c r="I29" s="21" t="s">
        <v>171</v>
      </c>
    </row>
    <row r="30" spans="1:9" ht="15.75" thickBot="1">
      <c r="A30" s="85" t="s">
        <v>143</v>
      </c>
      <c r="B30" s="86" t="s">
        <v>99</v>
      </c>
      <c r="C30" s="87">
        <v>34.5</v>
      </c>
      <c r="D30" s="86" t="s">
        <v>16</v>
      </c>
      <c r="E30" s="87" t="s">
        <v>17</v>
      </c>
      <c r="F30" s="83" t="s">
        <v>117</v>
      </c>
      <c r="G30" s="21" t="s">
        <v>15</v>
      </c>
      <c r="H30" s="12" t="s">
        <v>17</v>
      </c>
      <c r="I30" s="21" t="s">
        <v>171</v>
      </c>
    </row>
    <row r="31" spans="1:9" ht="15.75" thickBot="1">
      <c r="A31" s="85" t="s">
        <v>144</v>
      </c>
      <c r="B31" s="86" t="s">
        <v>122</v>
      </c>
      <c r="C31" s="87">
        <v>0.5</v>
      </c>
      <c r="D31" s="86" t="s">
        <v>11</v>
      </c>
      <c r="E31" s="87" t="s">
        <v>12</v>
      </c>
      <c r="F31" s="83" t="s">
        <v>117</v>
      </c>
      <c r="G31" s="21" t="s">
        <v>15</v>
      </c>
      <c r="H31" s="12" t="s">
        <v>169</v>
      </c>
      <c r="I31" s="21" t="s">
        <v>171</v>
      </c>
    </row>
    <row r="32" spans="1:9" ht="15.75" thickBot="1">
      <c r="A32" s="85" t="s">
        <v>145</v>
      </c>
      <c r="B32" s="86" t="s">
        <v>146</v>
      </c>
      <c r="C32" s="87">
        <v>2.5</v>
      </c>
      <c r="D32" s="86" t="s">
        <v>23</v>
      </c>
      <c r="E32" s="87" t="s">
        <v>22</v>
      </c>
      <c r="F32" s="83" t="s">
        <v>117</v>
      </c>
      <c r="G32" s="21" t="s">
        <v>15</v>
      </c>
      <c r="H32" s="12" t="s">
        <v>22</v>
      </c>
      <c r="I32" s="21" t="s">
        <v>171</v>
      </c>
    </row>
    <row r="33" spans="1:9" ht="15.75" thickBot="1">
      <c r="A33" s="85" t="s">
        <v>147</v>
      </c>
      <c r="B33" s="86" t="s">
        <v>21</v>
      </c>
      <c r="C33" s="87">
        <v>90.75</v>
      </c>
      <c r="D33" s="86" t="s">
        <v>16</v>
      </c>
      <c r="E33" s="87" t="s">
        <v>17</v>
      </c>
      <c r="F33" s="83" t="s">
        <v>117</v>
      </c>
      <c r="G33" s="21" t="s">
        <v>15</v>
      </c>
      <c r="H33" s="12" t="s">
        <v>17</v>
      </c>
      <c r="I33" s="21" t="s">
        <v>171</v>
      </c>
    </row>
    <row r="34" spans="1:9" ht="15.75" thickBot="1">
      <c r="A34" s="85" t="s">
        <v>148</v>
      </c>
      <c r="B34" s="86" t="s">
        <v>149</v>
      </c>
      <c r="C34" s="87">
        <v>4.0999999999999996</v>
      </c>
      <c r="D34" s="86" t="s">
        <v>465</v>
      </c>
      <c r="E34" s="87" t="s">
        <v>120</v>
      </c>
      <c r="F34" s="83" t="s">
        <v>117</v>
      </c>
      <c r="G34" s="21" t="s">
        <v>15</v>
      </c>
      <c r="H34" s="12" t="s">
        <v>168</v>
      </c>
      <c r="I34" s="21" t="s">
        <v>171</v>
      </c>
    </row>
    <row r="35" spans="1:9" ht="15.75" thickBot="1">
      <c r="A35" s="85" t="s">
        <v>150</v>
      </c>
      <c r="B35" s="86" t="s">
        <v>149</v>
      </c>
      <c r="C35" s="87">
        <v>4.0999999999999996</v>
      </c>
      <c r="D35" s="86" t="s">
        <v>465</v>
      </c>
      <c r="E35" s="87" t="s">
        <v>120</v>
      </c>
      <c r="F35" s="83" t="s">
        <v>117</v>
      </c>
      <c r="G35" s="21" t="s">
        <v>15</v>
      </c>
      <c r="H35" s="12" t="s">
        <v>168</v>
      </c>
      <c r="I35" s="21" t="s">
        <v>171</v>
      </c>
    </row>
    <row r="36" spans="1:9" ht="15.75" thickBot="1">
      <c r="A36" s="85" t="s">
        <v>423</v>
      </c>
      <c r="B36" s="86" t="s">
        <v>158</v>
      </c>
      <c r="C36" s="87">
        <v>1.1399999999999999</v>
      </c>
      <c r="D36" s="86" t="s">
        <v>407</v>
      </c>
      <c r="E36" s="87" t="s">
        <v>28</v>
      </c>
      <c r="F36" s="83" t="s">
        <v>117</v>
      </c>
      <c r="G36" s="21" t="s">
        <v>15</v>
      </c>
      <c r="H36" s="12" t="s">
        <v>28</v>
      </c>
      <c r="I36" s="21" t="s">
        <v>171</v>
      </c>
    </row>
    <row r="37" spans="1:9" ht="15.75" thickBot="1">
      <c r="A37" s="85" t="s">
        <v>424</v>
      </c>
      <c r="B37" s="86" t="s">
        <v>158</v>
      </c>
      <c r="C37" s="87">
        <v>0.2</v>
      </c>
      <c r="D37" s="86" t="s">
        <v>407</v>
      </c>
      <c r="E37" s="87" t="s">
        <v>28</v>
      </c>
      <c r="F37" s="83" t="s">
        <v>117</v>
      </c>
      <c r="G37" s="21" t="s">
        <v>15</v>
      </c>
      <c r="H37" s="12" t="s">
        <v>28</v>
      </c>
      <c r="I37" s="21" t="s">
        <v>171</v>
      </c>
    </row>
    <row r="38" spans="1:9" ht="15.75" thickBot="1">
      <c r="A38" s="85" t="s">
        <v>151</v>
      </c>
      <c r="B38" s="86" t="s">
        <v>152</v>
      </c>
      <c r="C38" s="87">
        <v>1</v>
      </c>
      <c r="D38" s="86" t="s">
        <v>27</v>
      </c>
      <c r="E38" s="87" t="s">
        <v>28</v>
      </c>
      <c r="F38" s="83" t="s">
        <v>117</v>
      </c>
      <c r="G38" s="21" t="s">
        <v>15</v>
      </c>
      <c r="H38" s="12" t="s">
        <v>28</v>
      </c>
      <c r="I38" s="21" t="s">
        <v>171</v>
      </c>
    </row>
    <row r="39" spans="1:9" ht="15.75" thickBot="1"/>
    <row r="40" spans="1:9" ht="15.75" thickBot="1">
      <c r="A40" s="61" t="s">
        <v>102</v>
      </c>
      <c r="B40" s="109"/>
      <c r="C40" s="111">
        <f>SUM(existingnstable[Nameplate Capacity (MW)])</f>
        <v>444.58879999999994</v>
      </c>
      <c r="D40" s="109"/>
      <c r="E40" s="110"/>
      <c r="F40" s="109"/>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60"/>
  <sheetViews>
    <sheetView workbookViewId="0"/>
  </sheetViews>
  <sheetFormatPr defaultColWidth="9.140625" defaultRowHeight="15"/>
  <cols>
    <col min="1" max="1" width="48.7109375" style="31" bestFit="1" customWidth="1"/>
    <col min="2" max="2" width="32.5703125" style="31" bestFit="1" customWidth="1"/>
    <col min="3" max="3" width="20.42578125" style="31" bestFit="1" customWidth="1"/>
    <col min="4" max="4" width="26" style="31" bestFit="1" customWidth="1"/>
    <col min="5" max="5" width="20.5703125" style="31" bestFit="1" customWidth="1"/>
    <col min="6" max="6" width="14.7109375" style="31" bestFit="1" customWidth="1"/>
    <col min="7" max="7" width="25.5703125" style="31" bestFit="1" customWidth="1"/>
    <col min="8" max="8" width="16.5703125" style="31" bestFit="1" customWidth="1"/>
    <col min="9" max="9" width="23" style="31" customWidth="1"/>
    <col min="10" max="10" width="101.42578125" style="31" customWidth="1"/>
    <col min="11" max="11" width="28.5703125" style="31" hidden="1" customWidth="1"/>
    <col min="12" max="12" width="17.85546875" style="31" hidden="1" customWidth="1"/>
    <col min="13" max="13" width="10.7109375" style="31" hidden="1" customWidth="1"/>
    <col min="14" max="14" width="19.5703125" style="31" hidden="1" customWidth="1"/>
    <col min="15" max="15" width="19.5703125" style="78" hidden="1" customWidth="1"/>
    <col min="16" max="16384" width="9.140625" style="31"/>
  </cols>
  <sheetData>
    <row r="1" spans="1:15" ht="20.25" thickBot="1">
      <c r="A1" s="67" t="s">
        <v>153</v>
      </c>
    </row>
    <row r="2" spans="1:15" ht="23.25" thickBot="1">
      <c r="A2" s="71" t="s">
        <v>154</v>
      </c>
      <c r="B2" s="72" t="s">
        <v>2</v>
      </c>
      <c r="C2" s="72" t="s">
        <v>155</v>
      </c>
      <c r="D2" s="72" t="s">
        <v>3</v>
      </c>
      <c r="E2" s="72" t="s">
        <v>4</v>
      </c>
      <c r="F2" s="72" t="s">
        <v>156</v>
      </c>
      <c r="G2" s="72" t="s">
        <v>116</v>
      </c>
      <c r="H2" s="72" t="s">
        <v>5</v>
      </c>
      <c r="I2" s="72" t="s">
        <v>157</v>
      </c>
      <c r="J2" s="72" t="s">
        <v>469</v>
      </c>
      <c r="K2" s="9" t="s">
        <v>176</v>
      </c>
      <c r="L2" s="9" t="s">
        <v>177</v>
      </c>
      <c r="M2" s="9" t="s">
        <v>178</v>
      </c>
      <c r="N2" s="9" t="s">
        <v>179</v>
      </c>
      <c r="O2" s="10" t="s">
        <v>180</v>
      </c>
    </row>
    <row r="3" spans="1:15" ht="15.75" thickBot="1">
      <c r="A3" s="88" t="s">
        <v>556</v>
      </c>
      <c r="B3" s="83" t="s">
        <v>26</v>
      </c>
      <c r="C3" s="89" t="s">
        <v>158</v>
      </c>
      <c r="D3" s="90" t="s">
        <v>557</v>
      </c>
      <c r="E3" s="89" t="s">
        <v>28</v>
      </c>
      <c r="F3" s="90" t="s">
        <v>181</v>
      </c>
      <c r="G3" s="89" t="s">
        <v>558</v>
      </c>
      <c r="H3" s="90" t="s">
        <v>158</v>
      </c>
      <c r="I3" s="89" t="s">
        <v>514</v>
      </c>
      <c r="J3" s="90" t="s">
        <v>559</v>
      </c>
      <c r="K3" s="131" t="s">
        <v>173</v>
      </c>
      <c r="L3" s="80">
        <v>5</v>
      </c>
      <c r="M3" s="131" t="s">
        <v>159</v>
      </c>
      <c r="N3" s="80" t="s">
        <v>15</v>
      </c>
      <c r="O3" s="131" t="s">
        <v>28</v>
      </c>
    </row>
    <row r="4" spans="1:15" ht="15.75" thickBot="1">
      <c r="A4" s="91" t="s">
        <v>205</v>
      </c>
      <c r="B4" s="86" t="s">
        <v>206</v>
      </c>
      <c r="C4" s="92" t="s">
        <v>207</v>
      </c>
      <c r="D4" s="93" t="s">
        <v>208</v>
      </c>
      <c r="E4" s="92" t="s">
        <v>28</v>
      </c>
      <c r="F4" s="93" t="s">
        <v>185</v>
      </c>
      <c r="G4" s="92" t="s">
        <v>187</v>
      </c>
      <c r="H4" s="93" t="s">
        <v>13</v>
      </c>
      <c r="I4" s="92" t="s">
        <v>514</v>
      </c>
      <c r="J4" s="93" t="s">
        <v>470</v>
      </c>
      <c r="K4" s="131" t="s">
        <v>173</v>
      </c>
      <c r="L4" s="80">
        <v>150</v>
      </c>
      <c r="M4" s="131" t="s">
        <v>159</v>
      </c>
      <c r="N4" s="80" t="s">
        <v>15</v>
      </c>
      <c r="O4" s="131" t="s">
        <v>28</v>
      </c>
    </row>
    <row r="5" spans="1:15" ht="15.75" thickBot="1">
      <c r="A5" s="91" t="s">
        <v>209</v>
      </c>
      <c r="B5" s="86" t="s">
        <v>206</v>
      </c>
      <c r="C5" s="92" t="s">
        <v>210</v>
      </c>
      <c r="D5" s="93" t="s">
        <v>29</v>
      </c>
      <c r="E5" s="92" t="s">
        <v>28</v>
      </c>
      <c r="F5" s="93" t="s">
        <v>181</v>
      </c>
      <c r="G5" s="92" t="s">
        <v>211</v>
      </c>
      <c r="H5" s="93" t="s">
        <v>13</v>
      </c>
      <c r="I5" s="92" t="s">
        <v>514</v>
      </c>
      <c r="J5" s="93" t="s">
        <v>470</v>
      </c>
      <c r="K5" s="131" t="s">
        <v>173</v>
      </c>
      <c r="L5" s="80">
        <v>68</v>
      </c>
      <c r="M5" s="131" t="s">
        <v>159</v>
      </c>
      <c r="N5" s="80" t="s">
        <v>15</v>
      </c>
      <c r="O5" s="131" t="s">
        <v>28</v>
      </c>
    </row>
    <row r="6" spans="1:15" ht="15.75" thickBot="1">
      <c r="A6" s="91" t="s">
        <v>104</v>
      </c>
      <c r="B6" s="86" t="s">
        <v>26</v>
      </c>
      <c r="C6" s="92" t="s">
        <v>105</v>
      </c>
      <c r="D6" s="93" t="s">
        <v>465</v>
      </c>
      <c r="E6" s="92" t="s">
        <v>20</v>
      </c>
      <c r="F6" s="93" t="s">
        <v>172</v>
      </c>
      <c r="G6" s="92" t="s">
        <v>212</v>
      </c>
      <c r="H6" s="93" t="s">
        <v>13</v>
      </c>
      <c r="I6" s="92" t="s">
        <v>204</v>
      </c>
      <c r="J6" s="93"/>
      <c r="K6" s="131" t="s">
        <v>172</v>
      </c>
      <c r="L6" s="80">
        <v>210</v>
      </c>
      <c r="M6" s="131" t="s">
        <v>159</v>
      </c>
      <c r="N6" s="80" t="s">
        <v>15</v>
      </c>
      <c r="O6" s="131" t="s">
        <v>167</v>
      </c>
    </row>
    <row r="7" spans="1:15" ht="15.75" thickBot="1">
      <c r="A7" s="91" t="s">
        <v>213</v>
      </c>
      <c r="B7" s="86" t="s">
        <v>214</v>
      </c>
      <c r="C7" s="92" t="s">
        <v>215</v>
      </c>
      <c r="D7" s="93" t="s">
        <v>16</v>
      </c>
      <c r="E7" s="92" t="s">
        <v>17</v>
      </c>
      <c r="F7" s="93" t="s">
        <v>181</v>
      </c>
      <c r="G7" s="92" t="s">
        <v>216</v>
      </c>
      <c r="H7" s="93" t="s">
        <v>18</v>
      </c>
      <c r="I7" s="92" t="s">
        <v>514</v>
      </c>
      <c r="J7" s="93"/>
      <c r="K7" s="131" t="s">
        <v>173</v>
      </c>
      <c r="L7" s="80">
        <v>187</v>
      </c>
      <c r="M7" s="131" t="s">
        <v>159</v>
      </c>
      <c r="N7" s="80" t="s">
        <v>15</v>
      </c>
      <c r="O7" s="131" t="s">
        <v>17</v>
      </c>
    </row>
    <row r="8" spans="1:15" ht="15.75" thickBot="1">
      <c r="A8" s="91" t="s">
        <v>217</v>
      </c>
      <c r="B8" s="86" t="s">
        <v>218</v>
      </c>
      <c r="C8" s="94" t="s">
        <v>103</v>
      </c>
      <c r="D8" s="93" t="s">
        <v>11</v>
      </c>
      <c r="E8" s="94" t="s">
        <v>12</v>
      </c>
      <c r="F8" s="93" t="s">
        <v>181</v>
      </c>
      <c r="G8" s="94" t="s">
        <v>199</v>
      </c>
      <c r="H8" s="93" t="s">
        <v>13</v>
      </c>
      <c r="I8" s="94" t="s">
        <v>514</v>
      </c>
      <c r="J8" s="93"/>
      <c r="K8" s="131" t="s">
        <v>173</v>
      </c>
      <c r="L8" s="80">
        <v>30</v>
      </c>
      <c r="M8" s="131" t="s">
        <v>159</v>
      </c>
      <c r="N8" s="80" t="s">
        <v>15</v>
      </c>
      <c r="O8" s="131" t="s">
        <v>169</v>
      </c>
    </row>
    <row r="9" spans="1:15" ht="15.75" thickBot="1">
      <c r="A9" s="91" t="s">
        <v>431</v>
      </c>
      <c r="B9" s="86" t="s">
        <v>221</v>
      </c>
      <c r="C9" s="94" t="s">
        <v>106</v>
      </c>
      <c r="D9" s="93" t="s">
        <v>158</v>
      </c>
      <c r="E9" s="94" t="s">
        <v>28</v>
      </c>
      <c r="F9" s="93" t="s">
        <v>181</v>
      </c>
      <c r="G9" s="94" t="s">
        <v>560</v>
      </c>
      <c r="H9" s="93" t="s">
        <v>18</v>
      </c>
      <c r="I9" s="94" t="s">
        <v>514</v>
      </c>
      <c r="J9" s="93"/>
      <c r="K9" s="131" t="s">
        <v>173</v>
      </c>
      <c r="L9" s="80">
        <v>80</v>
      </c>
      <c r="M9" s="131" t="s">
        <v>159</v>
      </c>
      <c r="N9" s="80" t="s">
        <v>15</v>
      </c>
      <c r="O9" s="131" t="s">
        <v>28</v>
      </c>
    </row>
    <row r="10" spans="1:15" ht="15.75" thickBot="1">
      <c r="A10" s="91" t="s">
        <v>222</v>
      </c>
      <c r="B10" s="86" t="s">
        <v>220</v>
      </c>
      <c r="C10" s="94" t="s">
        <v>223</v>
      </c>
      <c r="D10" s="93" t="s">
        <v>29</v>
      </c>
      <c r="E10" s="94" t="s">
        <v>28</v>
      </c>
      <c r="F10" s="93" t="s">
        <v>182</v>
      </c>
      <c r="G10" s="94" t="s">
        <v>191</v>
      </c>
      <c r="H10" s="93" t="s">
        <v>18</v>
      </c>
      <c r="I10" s="94" t="s">
        <v>467</v>
      </c>
      <c r="J10" s="93"/>
      <c r="K10" s="131" t="s">
        <v>172</v>
      </c>
      <c r="L10" s="80">
        <v>110</v>
      </c>
      <c r="M10" s="131" t="s">
        <v>159</v>
      </c>
      <c r="N10" s="80" t="s">
        <v>15</v>
      </c>
      <c r="O10" s="131" t="s">
        <v>28</v>
      </c>
    </row>
    <row r="11" spans="1:15" ht="15.75" thickBot="1">
      <c r="A11" s="91" t="s">
        <v>515</v>
      </c>
      <c r="B11" s="86" t="s">
        <v>561</v>
      </c>
      <c r="C11" s="94" t="s">
        <v>158</v>
      </c>
      <c r="D11" s="93" t="s">
        <v>29</v>
      </c>
      <c r="E11" s="94" t="s">
        <v>28</v>
      </c>
      <c r="F11" s="93" t="s">
        <v>181</v>
      </c>
      <c r="G11" s="94" t="s">
        <v>516</v>
      </c>
      <c r="H11" s="93" t="s">
        <v>18</v>
      </c>
      <c r="I11" s="94" t="s">
        <v>514</v>
      </c>
      <c r="J11" s="93" t="s">
        <v>517</v>
      </c>
      <c r="K11" s="131" t="s">
        <v>173</v>
      </c>
      <c r="L11" s="80">
        <v>280</v>
      </c>
      <c r="M11" s="131" t="s">
        <v>159</v>
      </c>
      <c r="N11" s="80" t="s">
        <v>15</v>
      </c>
      <c r="O11" s="131" t="s">
        <v>28</v>
      </c>
    </row>
    <row r="12" spans="1:15" ht="15.75" thickBot="1">
      <c r="A12" s="91" t="s">
        <v>451</v>
      </c>
      <c r="B12" s="86" t="s">
        <v>452</v>
      </c>
      <c r="C12" s="94" t="s">
        <v>288</v>
      </c>
      <c r="D12" s="93" t="s">
        <v>16</v>
      </c>
      <c r="E12" s="94" t="s">
        <v>17</v>
      </c>
      <c r="F12" s="93" t="s">
        <v>181</v>
      </c>
      <c r="G12" s="94" t="s">
        <v>453</v>
      </c>
      <c r="H12" s="93" t="s">
        <v>18</v>
      </c>
      <c r="I12" s="94" t="s">
        <v>514</v>
      </c>
      <c r="J12" s="93" t="s">
        <v>493</v>
      </c>
      <c r="K12" s="131" t="s">
        <v>173</v>
      </c>
      <c r="L12" s="80">
        <v>175</v>
      </c>
      <c r="M12" s="131" t="s">
        <v>159</v>
      </c>
      <c r="N12" s="80" t="s">
        <v>15</v>
      </c>
      <c r="O12" s="131" t="s">
        <v>17</v>
      </c>
    </row>
    <row r="13" spans="1:15" ht="15.75" thickBot="1">
      <c r="A13" s="91" t="s">
        <v>224</v>
      </c>
      <c r="B13" s="86" t="s">
        <v>225</v>
      </c>
      <c r="C13" s="94" t="s">
        <v>226</v>
      </c>
      <c r="D13" s="93" t="s">
        <v>16</v>
      </c>
      <c r="E13" s="94" t="s">
        <v>17</v>
      </c>
      <c r="F13" s="93" t="s">
        <v>181</v>
      </c>
      <c r="G13" s="94" t="s">
        <v>227</v>
      </c>
      <c r="H13" s="93" t="s">
        <v>18</v>
      </c>
      <c r="I13" s="94" t="s">
        <v>514</v>
      </c>
      <c r="J13" s="93"/>
      <c r="K13" s="131" t="s">
        <v>173</v>
      </c>
      <c r="L13" s="80">
        <v>636</v>
      </c>
      <c r="M13" s="131" t="s">
        <v>159</v>
      </c>
      <c r="N13" s="80" t="s">
        <v>15</v>
      </c>
      <c r="O13" s="131" t="s">
        <v>17</v>
      </c>
    </row>
    <row r="14" spans="1:15" ht="15.75" thickBot="1">
      <c r="A14" s="91" t="s">
        <v>228</v>
      </c>
      <c r="B14" s="86" t="s">
        <v>229</v>
      </c>
      <c r="C14" s="94" t="s">
        <v>454</v>
      </c>
      <c r="D14" s="93" t="s">
        <v>466</v>
      </c>
      <c r="E14" s="94" t="s">
        <v>183</v>
      </c>
      <c r="F14" s="93" t="s">
        <v>182</v>
      </c>
      <c r="G14" s="94" t="s">
        <v>562</v>
      </c>
      <c r="H14" s="93" t="s">
        <v>13</v>
      </c>
      <c r="I14" s="94" t="s">
        <v>484</v>
      </c>
      <c r="J14" s="93" t="s">
        <v>471</v>
      </c>
      <c r="K14" s="131" t="s">
        <v>172</v>
      </c>
      <c r="L14" s="80">
        <v>30</v>
      </c>
      <c r="M14" s="131" t="s">
        <v>159</v>
      </c>
      <c r="N14" s="80" t="s">
        <v>15</v>
      </c>
      <c r="O14" s="131" t="s">
        <v>183</v>
      </c>
    </row>
    <row r="15" spans="1:15" ht="15.75" thickBot="1">
      <c r="A15" s="91" t="s">
        <v>230</v>
      </c>
      <c r="B15" s="86" t="s">
        <v>231</v>
      </c>
      <c r="C15" s="94" t="s">
        <v>111</v>
      </c>
      <c r="D15" s="93" t="s">
        <v>16</v>
      </c>
      <c r="E15" s="94" t="s">
        <v>17</v>
      </c>
      <c r="F15" s="93" t="s">
        <v>181</v>
      </c>
      <c r="G15" s="94" t="s">
        <v>162</v>
      </c>
      <c r="H15" s="93" t="s">
        <v>18</v>
      </c>
      <c r="I15" s="94" t="s">
        <v>514</v>
      </c>
      <c r="J15" s="93"/>
      <c r="K15" s="131" t="s">
        <v>173</v>
      </c>
      <c r="L15" s="80">
        <v>144</v>
      </c>
      <c r="M15" s="131" t="s">
        <v>159</v>
      </c>
      <c r="N15" s="80" t="s">
        <v>15</v>
      </c>
      <c r="O15" s="131" t="s">
        <v>17</v>
      </c>
    </row>
    <row r="16" spans="1:15" ht="15.75" thickBot="1">
      <c r="A16" s="91" t="s">
        <v>232</v>
      </c>
      <c r="B16" s="86" t="s">
        <v>233</v>
      </c>
      <c r="C16" s="94" t="s">
        <v>234</v>
      </c>
      <c r="D16" s="93" t="s">
        <v>54</v>
      </c>
      <c r="E16" s="94" t="s">
        <v>22</v>
      </c>
      <c r="F16" s="93" t="s">
        <v>181</v>
      </c>
      <c r="G16" s="94" t="s">
        <v>235</v>
      </c>
      <c r="H16" s="93" t="s">
        <v>13</v>
      </c>
      <c r="I16" s="94" t="s">
        <v>236</v>
      </c>
      <c r="J16" s="93" t="s">
        <v>472</v>
      </c>
      <c r="K16" s="131" t="s">
        <v>173</v>
      </c>
      <c r="L16" s="80">
        <v>230</v>
      </c>
      <c r="M16" s="131" t="s">
        <v>159</v>
      </c>
      <c r="N16" s="80" t="s">
        <v>15</v>
      </c>
      <c r="O16" s="131" t="s">
        <v>22</v>
      </c>
    </row>
    <row r="17" spans="1:15" ht="15.75" thickBot="1">
      <c r="A17" s="91" t="s">
        <v>518</v>
      </c>
      <c r="B17" s="86" t="s">
        <v>519</v>
      </c>
      <c r="C17" s="94" t="s">
        <v>158</v>
      </c>
      <c r="D17" s="93" t="s">
        <v>466</v>
      </c>
      <c r="E17" s="94" t="s">
        <v>183</v>
      </c>
      <c r="F17" s="93" t="s">
        <v>181</v>
      </c>
      <c r="G17" s="94" t="s">
        <v>520</v>
      </c>
      <c r="H17" s="93" t="s">
        <v>158</v>
      </c>
      <c r="I17" s="94" t="s">
        <v>514</v>
      </c>
      <c r="J17" s="93" t="s">
        <v>521</v>
      </c>
      <c r="K17" s="131" t="s">
        <v>173</v>
      </c>
      <c r="L17" s="80">
        <v>1</v>
      </c>
      <c r="M17" s="131" t="s">
        <v>159</v>
      </c>
      <c r="N17" s="80" t="s">
        <v>15</v>
      </c>
      <c r="O17" s="131" t="s">
        <v>183</v>
      </c>
    </row>
    <row r="18" spans="1:15" ht="15.75" thickBot="1">
      <c r="A18" s="91" t="s">
        <v>237</v>
      </c>
      <c r="B18" s="86" t="s">
        <v>200</v>
      </c>
      <c r="C18" s="94" t="s">
        <v>238</v>
      </c>
      <c r="D18" s="93" t="s">
        <v>54</v>
      </c>
      <c r="E18" s="94" t="s">
        <v>22</v>
      </c>
      <c r="F18" s="93" t="s">
        <v>181</v>
      </c>
      <c r="G18" s="94" t="s">
        <v>190</v>
      </c>
      <c r="H18" s="93" t="s">
        <v>13</v>
      </c>
      <c r="I18" s="94" t="s">
        <v>514</v>
      </c>
      <c r="J18" s="93" t="s">
        <v>587</v>
      </c>
      <c r="K18" s="131" t="s">
        <v>173</v>
      </c>
      <c r="L18" s="80">
        <v>300</v>
      </c>
      <c r="M18" s="131" t="s">
        <v>159</v>
      </c>
      <c r="N18" s="80" t="s">
        <v>15</v>
      </c>
      <c r="O18" s="131" t="s">
        <v>22</v>
      </c>
    </row>
    <row r="19" spans="1:15" ht="15.75" thickBot="1">
      <c r="A19" s="91" t="s">
        <v>239</v>
      </c>
      <c r="B19" s="86" t="s">
        <v>240</v>
      </c>
      <c r="C19" s="94" t="s">
        <v>188</v>
      </c>
      <c r="D19" s="93" t="s">
        <v>16</v>
      </c>
      <c r="E19" s="94" t="s">
        <v>17</v>
      </c>
      <c r="F19" s="93" t="s">
        <v>181</v>
      </c>
      <c r="G19" s="94" t="s">
        <v>241</v>
      </c>
      <c r="H19" s="93" t="s">
        <v>18</v>
      </c>
      <c r="I19" s="94" t="s">
        <v>242</v>
      </c>
      <c r="J19" s="93" t="s">
        <v>493</v>
      </c>
      <c r="K19" s="131" t="s">
        <v>173</v>
      </c>
      <c r="L19" s="80">
        <v>176</v>
      </c>
      <c r="M19" s="131" t="s">
        <v>159</v>
      </c>
      <c r="N19" s="80" t="s">
        <v>15</v>
      </c>
      <c r="O19" s="131" t="s">
        <v>17</v>
      </c>
    </row>
    <row r="20" spans="1:15" ht="15.75" thickBot="1">
      <c r="A20" s="91" t="s">
        <v>588</v>
      </c>
      <c r="B20" s="86" t="s">
        <v>197</v>
      </c>
      <c r="C20" s="94" t="s">
        <v>110</v>
      </c>
      <c r="D20" s="93" t="s">
        <v>29</v>
      </c>
      <c r="E20" s="94" t="s">
        <v>28</v>
      </c>
      <c r="F20" s="93" t="s">
        <v>181</v>
      </c>
      <c r="G20" s="94" t="s">
        <v>243</v>
      </c>
      <c r="H20" s="93" t="s">
        <v>18</v>
      </c>
      <c r="I20" s="94" t="s">
        <v>514</v>
      </c>
      <c r="J20" s="93"/>
      <c r="K20" s="131" t="s">
        <v>173</v>
      </c>
      <c r="L20" s="80">
        <v>120</v>
      </c>
      <c r="M20" s="131" t="s">
        <v>159</v>
      </c>
      <c r="N20" s="80" t="s">
        <v>15</v>
      </c>
      <c r="O20" s="131" t="s">
        <v>28</v>
      </c>
    </row>
    <row r="21" spans="1:15" ht="15.75" thickBot="1">
      <c r="A21" s="91" t="s">
        <v>589</v>
      </c>
      <c r="B21" s="86" t="s">
        <v>197</v>
      </c>
      <c r="C21" s="94" t="s">
        <v>158</v>
      </c>
      <c r="D21" s="93" t="s">
        <v>466</v>
      </c>
      <c r="E21" s="94" t="s">
        <v>183</v>
      </c>
      <c r="F21" s="93" t="s">
        <v>181</v>
      </c>
      <c r="G21" s="94" t="s">
        <v>590</v>
      </c>
      <c r="H21" s="93" t="s">
        <v>13</v>
      </c>
      <c r="I21" s="94"/>
      <c r="J21" s="93" t="s">
        <v>591</v>
      </c>
      <c r="K21" s="131" t="s">
        <v>173</v>
      </c>
      <c r="L21" s="80">
        <v>100</v>
      </c>
      <c r="M21" s="131" t="s">
        <v>159</v>
      </c>
      <c r="N21" s="80" t="s">
        <v>15</v>
      </c>
      <c r="O21" s="131" t="s">
        <v>183</v>
      </c>
    </row>
    <row r="22" spans="1:15" ht="15.75" thickBot="1">
      <c r="A22" s="91" t="s">
        <v>244</v>
      </c>
      <c r="B22" s="86" t="s">
        <v>245</v>
      </c>
      <c r="C22" s="94" t="s">
        <v>103</v>
      </c>
      <c r="D22" s="93" t="s">
        <v>25</v>
      </c>
      <c r="E22" s="94" t="s">
        <v>246</v>
      </c>
      <c r="F22" s="93" t="s">
        <v>181</v>
      </c>
      <c r="G22" s="94" t="s">
        <v>247</v>
      </c>
      <c r="H22" s="93" t="s">
        <v>161</v>
      </c>
      <c r="I22" s="94" t="s">
        <v>514</v>
      </c>
      <c r="J22" s="93" t="s">
        <v>473</v>
      </c>
      <c r="K22" s="131" t="s">
        <v>173</v>
      </c>
      <c r="L22" s="80">
        <v>45</v>
      </c>
      <c r="M22" s="131" t="s">
        <v>159</v>
      </c>
      <c r="N22" s="80" t="s">
        <v>15</v>
      </c>
      <c r="O22" s="131" t="s">
        <v>32</v>
      </c>
    </row>
    <row r="23" spans="1:15" ht="15.75" thickBot="1">
      <c r="A23" s="91" t="s">
        <v>248</v>
      </c>
      <c r="B23" s="86" t="s">
        <v>249</v>
      </c>
      <c r="C23" s="94" t="s">
        <v>250</v>
      </c>
      <c r="D23" s="93" t="s">
        <v>466</v>
      </c>
      <c r="E23" s="94" t="s">
        <v>183</v>
      </c>
      <c r="F23" s="93" t="s">
        <v>185</v>
      </c>
      <c r="G23" s="94" t="s">
        <v>109</v>
      </c>
      <c r="H23" s="93" t="s">
        <v>13</v>
      </c>
      <c r="I23" s="94" t="s">
        <v>514</v>
      </c>
      <c r="J23" s="93" t="s">
        <v>474</v>
      </c>
      <c r="K23" s="131" t="s">
        <v>173</v>
      </c>
      <c r="L23" s="80">
        <v>10</v>
      </c>
      <c r="M23" s="131" t="s">
        <v>159</v>
      </c>
      <c r="N23" s="80" t="s">
        <v>15</v>
      </c>
      <c r="O23" s="131" t="s">
        <v>183</v>
      </c>
    </row>
    <row r="24" spans="1:15" ht="15.75" thickBot="1">
      <c r="A24" s="91" t="s">
        <v>107</v>
      </c>
      <c r="B24" s="86" t="s">
        <v>249</v>
      </c>
      <c r="C24" s="94" t="s">
        <v>108</v>
      </c>
      <c r="D24" s="93" t="s">
        <v>16</v>
      </c>
      <c r="E24" s="94" t="s">
        <v>17</v>
      </c>
      <c r="F24" s="93" t="s">
        <v>172</v>
      </c>
      <c r="G24" s="94" t="s">
        <v>251</v>
      </c>
      <c r="H24" s="93" t="s">
        <v>18</v>
      </c>
      <c r="I24" s="94" t="s">
        <v>252</v>
      </c>
      <c r="J24" s="93" t="s">
        <v>474</v>
      </c>
      <c r="K24" s="131" t="s">
        <v>172</v>
      </c>
      <c r="L24" s="80">
        <v>126</v>
      </c>
      <c r="M24" s="131" t="s">
        <v>159</v>
      </c>
      <c r="N24" s="80" t="s">
        <v>15</v>
      </c>
      <c r="O24" s="131" t="s">
        <v>17</v>
      </c>
    </row>
    <row r="25" spans="1:15" ht="15.75" thickBot="1">
      <c r="A25" s="91" t="s">
        <v>253</v>
      </c>
      <c r="B25" s="86" t="s">
        <v>249</v>
      </c>
      <c r="C25" s="94" t="s">
        <v>254</v>
      </c>
      <c r="D25" s="93" t="s">
        <v>16</v>
      </c>
      <c r="E25" s="94" t="s">
        <v>17</v>
      </c>
      <c r="F25" s="93" t="s">
        <v>193</v>
      </c>
      <c r="G25" s="94" t="s">
        <v>255</v>
      </c>
      <c r="H25" s="93" t="s">
        <v>18</v>
      </c>
      <c r="I25" s="94" t="s">
        <v>514</v>
      </c>
      <c r="J25" s="93" t="s">
        <v>474</v>
      </c>
      <c r="K25" s="131" t="s">
        <v>173</v>
      </c>
      <c r="L25" s="80">
        <v>86</v>
      </c>
      <c r="M25" s="131" t="s">
        <v>159</v>
      </c>
      <c r="N25" s="80" t="s">
        <v>15</v>
      </c>
      <c r="O25" s="131" t="s">
        <v>17</v>
      </c>
    </row>
    <row r="26" spans="1:15" ht="15.75" thickBot="1">
      <c r="A26" s="91" t="s">
        <v>522</v>
      </c>
      <c r="B26" s="86" t="s">
        <v>523</v>
      </c>
      <c r="C26" s="94" t="s">
        <v>158</v>
      </c>
      <c r="D26" s="93" t="s">
        <v>27</v>
      </c>
      <c r="E26" s="94" t="s">
        <v>28</v>
      </c>
      <c r="F26" s="93" t="s">
        <v>181</v>
      </c>
      <c r="G26" s="94" t="s">
        <v>524</v>
      </c>
      <c r="H26" s="93" t="s">
        <v>18</v>
      </c>
      <c r="I26" s="94" t="s">
        <v>514</v>
      </c>
      <c r="J26" s="93" t="s">
        <v>525</v>
      </c>
      <c r="K26" s="131" t="s">
        <v>173</v>
      </c>
      <c r="L26" s="80">
        <v>176</v>
      </c>
      <c r="M26" s="131" t="s">
        <v>159</v>
      </c>
      <c r="N26" s="80" t="s">
        <v>15</v>
      </c>
      <c r="O26" s="131" t="s">
        <v>28</v>
      </c>
    </row>
    <row r="27" spans="1:15" ht="15.75" thickBot="1">
      <c r="A27" s="91" t="s">
        <v>256</v>
      </c>
      <c r="B27" s="86" t="s">
        <v>194</v>
      </c>
      <c r="C27" s="94" t="s">
        <v>257</v>
      </c>
      <c r="D27" s="93" t="s">
        <v>16</v>
      </c>
      <c r="E27" s="94" t="s">
        <v>17</v>
      </c>
      <c r="F27" s="93" t="s">
        <v>181</v>
      </c>
      <c r="G27" s="94" t="s">
        <v>258</v>
      </c>
      <c r="H27" s="93" t="s">
        <v>18</v>
      </c>
      <c r="I27" s="94" t="s">
        <v>242</v>
      </c>
      <c r="J27" s="93"/>
      <c r="K27" s="131" t="s">
        <v>173</v>
      </c>
      <c r="L27" s="80">
        <v>375</v>
      </c>
      <c r="M27" s="131" t="s">
        <v>159</v>
      </c>
      <c r="N27" s="80" t="s">
        <v>15</v>
      </c>
      <c r="O27" s="131" t="s">
        <v>17</v>
      </c>
    </row>
    <row r="28" spans="1:15" ht="15.75" thickBot="1">
      <c r="A28" s="91" t="s">
        <v>455</v>
      </c>
      <c r="B28" s="86" t="s">
        <v>79</v>
      </c>
      <c r="C28" s="94" t="s">
        <v>456</v>
      </c>
      <c r="D28" s="93" t="s">
        <v>19</v>
      </c>
      <c r="E28" s="94" t="s">
        <v>20</v>
      </c>
      <c r="F28" s="93" t="s">
        <v>181</v>
      </c>
      <c r="G28" s="94" t="s">
        <v>526</v>
      </c>
      <c r="H28" s="93" t="s">
        <v>13</v>
      </c>
      <c r="I28" s="94" t="s">
        <v>514</v>
      </c>
      <c r="J28" s="93"/>
      <c r="K28" s="131" t="s">
        <v>173</v>
      </c>
      <c r="L28" s="80">
        <v>320</v>
      </c>
      <c r="M28" s="131" t="s">
        <v>159</v>
      </c>
      <c r="N28" s="80" t="s">
        <v>15</v>
      </c>
      <c r="O28" s="131" t="s">
        <v>19</v>
      </c>
    </row>
    <row r="29" spans="1:15" ht="15.75" thickBot="1">
      <c r="A29" s="91" t="s">
        <v>475</v>
      </c>
      <c r="B29" s="86" t="s">
        <v>476</v>
      </c>
      <c r="C29" s="94" t="s">
        <v>28</v>
      </c>
      <c r="D29" s="93" t="s">
        <v>27</v>
      </c>
      <c r="E29" s="94" t="s">
        <v>28</v>
      </c>
      <c r="F29" s="93" t="s">
        <v>181</v>
      </c>
      <c r="G29" s="94" t="s">
        <v>477</v>
      </c>
      <c r="H29" s="93" t="s">
        <v>161</v>
      </c>
      <c r="I29" s="94" t="s">
        <v>514</v>
      </c>
      <c r="J29" s="93"/>
      <c r="K29" s="131" t="s">
        <v>173</v>
      </c>
      <c r="L29" s="80">
        <v>5.7</v>
      </c>
      <c r="M29" s="131" t="s">
        <v>159</v>
      </c>
      <c r="N29" s="80" t="s">
        <v>15</v>
      </c>
      <c r="O29" s="131" t="s">
        <v>28</v>
      </c>
    </row>
    <row r="30" spans="1:15" ht="15.75" thickBot="1">
      <c r="A30" s="91" t="s">
        <v>259</v>
      </c>
      <c r="B30" s="86" t="s">
        <v>260</v>
      </c>
      <c r="C30" s="94" t="s">
        <v>261</v>
      </c>
      <c r="D30" s="93" t="s">
        <v>208</v>
      </c>
      <c r="E30" s="94" t="s">
        <v>28</v>
      </c>
      <c r="F30" s="93" t="s">
        <v>181</v>
      </c>
      <c r="G30" s="94" t="s">
        <v>195</v>
      </c>
      <c r="H30" s="93" t="s">
        <v>18</v>
      </c>
      <c r="I30" s="94" t="s">
        <v>203</v>
      </c>
      <c r="J30" s="93"/>
      <c r="K30" s="131" t="s">
        <v>173</v>
      </c>
      <c r="L30" s="80">
        <v>60</v>
      </c>
      <c r="M30" s="131" t="s">
        <v>159</v>
      </c>
      <c r="N30" s="80" t="s">
        <v>15</v>
      </c>
      <c r="O30" s="131" t="s">
        <v>28</v>
      </c>
    </row>
    <row r="31" spans="1:15" ht="15.75" thickBot="1">
      <c r="A31" s="91" t="s">
        <v>262</v>
      </c>
      <c r="B31" s="86" t="s">
        <v>260</v>
      </c>
      <c r="C31" s="94" t="s">
        <v>263</v>
      </c>
      <c r="D31" s="93" t="s">
        <v>29</v>
      </c>
      <c r="E31" s="94" t="s">
        <v>28</v>
      </c>
      <c r="F31" s="93" t="s">
        <v>181</v>
      </c>
      <c r="G31" s="94" t="s">
        <v>196</v>
      </c>
      <c r="H31" s="93" t="s">
        <v>18</v>
      </c>
      <c r="I31" s="94" t="s">
        <v>203</v>
      </c>
      <c r="J31" s="93"/>
      <c r="K31" s="131" t="s">
        <v>173</v>
      </c>
      <c r="L31" s="80">
        <v>140</v>
      </c>
      <c r="M31" s="131" t="s">
        <v>159</v>
      </c>
      <c r="N31" s="80" t="s">
        <v>15</v>
      </c>
      <c r="O31" s="131" t="s">
        <v>28</v>
      </c>
    </row>
    <row r="32" spans="1:15" ht="15.75" thickBot="1">
      <c r="A32" s="91" t="s">
        <v>264</v>
      </c>
      <c r="B32" s="86" t="s">
        <v>265</v>
      </c>
      <c r="C32" s="94" t="s">
        <v>266</v>
      </c>
      <c r="D32" s="93" t="s">
        <v>27</v>
      </c>
      <c r="E32" s="94" t="s">
        <v>28</v>
      </c>
      <c r="F32" s="93" t="s">
        <v>193</v>
      </c>
      <c r="G32" s="94" t="s">
        <v>187</v>
      </c>
      <c r="H32" s="93" t="s">
        <v>18</v>
      </c>
      <c r="I32" s="94" t="s">
        <v>514</v>
      </c>
      <c r="J32" s="93" t="s">
        <v>478</v>
      </c>
      <c r="K32" s="131" t="s">
        <v>173</v>
      </c>
      <c r="L32" s="80">
        <v>150</v>
      </c>
      <c r="M32" s="131" t="s">
        <v>159</v>
      </c>
      <c r="N32" s="80" t="s">
        <v>15</v>
      </c>
      <c r="O32" s="131" t="s">
        <v>28</v>
      </c>
    </row>
    <row r="33" spans="1:15" ht="15.75" thickBot="1">
      <c r="A33" s="91" t="s">
        <v>267</v>
      </c>
      <c r="B33" s="86" t="s">
        <v>265</v>
      </c>
      <c r="C33" s="94" t="s">
        <v>268</v>
      </c>
      <c r="D33" s="93" t="s">
        <v>16</v>
      </c>
      <c r="E33" s="94" t="s">
        <v>17</v>
      </c>
      <c r="F33" s="93" t="s">
        <v>193</v>
      </c>
      <c r="G33" s="94" t="s">
        <v>269</v>
      </c>
      <c r="H33" s="93" t="s">
        <v>18</v>
      </c>
      <c r="I33" s="94" t="s">
        <v>514</v>
      </c>
      <c r="J33" s="93" t="s">
        <v>478</v>
      </c>
      <c r="K33" s="131" t="s">
        <v>173</v>
      </c>
      <c r="L33" s="80">
        <v>212.4</v>
      </c>
      <c r="M33" s="131" t="s">
        <v>159</v>
      </c>
      <c r="N33" s="80" t="s">
        <v>15</v>
      </c>
      <c r="O33" s="131" t="s">
        <v>17</v>
      </c>
    </row>
    <row r="34" spans="1:15" ht="15.75" thickBot="1">
      <c r="A34" s="91" t="s">
        <v>485</v>
      </c>
      <c r="B34" s="86" t="s">
        <v>486</v>
      </c>
      <c r="C34" s="94" t="s">
        <v>103</v>
      </c>
      <c r="D34" s="93" t="s">
        <v>487</v>
      </c>
      <c r="E34" s="94" t="s">
        <v>20</v>
      </c>
      <c r="F34" s="93" t="s">
        <v>193</v>
      </c>
      <c r="G34" s="94" t="s">
        <v>488</v>
      </c>
      <c r="H34" s="93" t="s">
        <v>13</v>
      </c>
      <c r="I34" s="94" t="s">
        <v>489</v>
      </c>
      <c r="J34" s="93"/>
      <c r="K34" s="131" t="s">
        <v>173</v>
      </c>
      <c r="L34" s="80">
        <v>4</v>
      </c>
      <c r="M34" s="131" t="s">
        <v>159</v>
      </c>
      <c r="N34" s="80" t="s">
        <v>15</v>
      </c>
      <c r="O34" s="131" t="s">
        <v>19</v>
      </c>
    </row>
    <row r="35" spans="1:15" ht="15.75" thickBot="1">
      <c r="A35" s="91" t="s">
        <v>457</v>
      </c>
      <c r="B35" s="86" t="s">
        <v>458</v>
      </c>
      <c r="C35" s="94" t="s">
        <v>459</v>
      </c>
      <c r="D35" s="93" t="s">
        <v>158</v>
      </c>
      <c r="E35" s="94" t="s">
        <v>158</v>
      </c>
      <c r="F35" s="93" t="s">
        <v>181</v>
      </c>
      <c r="G35" s="94" t="s">
        <v>158</v>
      </c>
      <c r="H35" s="93" t="s">
        <v>13</v>
      </c>
      <c r="I35" s="94" t="s">
        <v>514</v>
      </c>
      <c r="J35" s="93"/>
      <c r="K35" s="131" t="s">
        <v>173</v>
      </c>
      <c r="L35" s="80">
        <v>0</v>
      </c>
      <c r="M35" s="131" t="s">
        <v>160</v>
      </c>
      <c r="N35" s="80" t="s">
        <v>15</v>
      </c>
      <c r="O35" s="131" t="s">
        <v>19</v>
      </c>
    </row>
    <row r="36" spans="1:15" ht="15.75" thickBot="1">
      <c r="A36" s="91" t="s">
        <v>270</v>
      </c>
      <c r="B36" s="86" t="s">
        <v>271</v>
      </c>
      <c r="C36" s="94" t="s">
        <v>202</v>
      </c>
      <c r="D36" s="93" t="s">
        <v>19</v>
      </c>
      <c r="E36" s="94" t="s">
        <v>20</v>
      </c>
      <c r="F36" s="93" t="s">
        <v>181</v>
      </c>
      <c r="G36" s="94" t="s">
        <v>187</v>
      </c>
      <c r="H36" s="93" t="s">
        <v>13</v>
      </c>
      <c r="I36" s="94" t="s">
        <v>514</v>
      </c>
      <c r="J36" s="93" t="s">
        <v>479</v>
      </c>
      <c r="K36" s="131" t="s">
        <v>173</v>
      </c>
      <c r="L36" s="80">
        <v>150</v>
      </c>
      <c r="M36" s="131" t="s">
        <v>159</v>
      </c>
      <c r="N36" s="80" t="s">
        <v>15</v>
      </c>
      <c r="O36" s="131" t="s">
        <v>19</v>
      </c>
    </row>
    <row r="37" spans="1:15" ht="15.75" thickBot="1">
      <c r="A37" s="91" t="s">
        <v>272</v>
      </c>
      <c r="B37" s="86" t="s">
        <v>271</v>
      </c>
      <c r="C37" s="94" t="s">
        <v>273</v>
      </c>
      <c r="D37" s="93" t="s">
        <v>19</v>
      </c>
      <c r="E37" s="94" t="s">
        <v>20</v>
      </c>
      <c r="F37" s="93" t="s">
        <v>181</v>
      </c>
      <c r="G37" s="94" t="s">
        <v>187</v>
      </c>
      <c r="H37" s="93" t="s">
        <v>13</v>
      </c>
      <c r="I37" s="94" t="s">
        <v>514</v>
      </c>
      <c r="J37" s="93" t="s">
        <v>479</v>
      </c>
      <c r="K37" s="131" t="s">
        <v>173</v>
      </c>
      <c r="L37" s="80">
        <v>150</v>
      </c>
      <c r="M37" s="131" t="s">
        <v>159</v>
      </c>
      <c r="N37" s="80" t="s">
        <v>15</v>
      </c>
      <c r="O37" s="131" t="s">
        <v>19</v>
      </c>
    </row>
    <row r="38" spans="1:15" ht="15.75" thickBot="1">
      <c r="A38" s="91" t="s">
        <v>592</v>
      </c>
      <c r="B38" s="86" t="s">
        <v>197</v>
      </c>
      <c r="C38" s="94" t="s">
        <v>110</v>
      </c>
      <c r="D38" s="93" t="s">
        <v>29</v>
      </c>
      <c r="E38" s="94" t="s">
        <v>28</v>
      </c>
      <c r="F38" s="93" t="s">
        <v>181</v>
      </c>
      <c r="G38" s="94" t="s">
        <v>274</v>
      </c>
      <c r="H38" s="93" t="s">
        <v>18</v>
      </c>
      <c r="I38" s="94" t="s">
        <v>514</v>
      </c>
      <c r="J38" s="93"/>
      <c r="K38" s="131" t="s">
        <v>173</v>
      </c>
      <c r="L38" s="80">
        <v>330</v>
      </c>
      <c r="M38" s="131" t="s">
        <v>159</v>
      </c>
      <c r="N38" s="80" t="s">
        <v>15</v>
      </c>
      <c r="O38" s="131" t="s">
        <v>28</v>
      </c>
    </row>
    <row r="39" spans="1:15" ht="15.75" thickBot="1">
      <c r="A39" s="91" t="s">
        <v>593</v>
      </c>
      <c r="B39" s="86" t="s">
        <v>197</v>
      </c>
      <c r="C39" s="94" t="s">
        <v>158</v>
      </c>
      <c r="D39" s="93" t="s">
        <v>466</v>
      </c>
      <c r="E39" s="94" t="s">
        <v>183</v>
      </c>
      <c r="F39" s="93" t="s">
        <v>181</v>
      </c>
      <c r="G39" s="94" t="s">
        <v>590</v>
      </c>
      <c r="H39" s="93" t="s">
        <v>13</v>
      </c>
      <c r="I39" s="94"/>
      <c r="J39" s="93" t="s">
        <v>594</v>
      </c>
      <c r="K39" s="131" t="s">
        <v>173</v>
      </c>
      <c r="L39" s="80">
        <v>100</v>
      </c>
      <c r="M39" s="131" t="s">
        <v>159</v>
      </c>
      <c r="N39" s="80" t="s">
        <v>15</v>
      </c>
      <c r="O39" s="131" t="s">
        <v>183</v>
      </c>
    </row>
    <row r="40" spans="1:15" ht="15.75" thickBot="1">
      <c r="A40" s="91" t="s">
        <v>275</v>
      </c>
      <c r="B40" s="86" t="s">
        <v>276</v>
      </c>
      <c r="C40" s="94" t="s">
        <v>277</v>
      </c>
      <c r="D40" s="93" t="s">
        <v>466</v>
      </c>
      <c r="E40" s="94" t="s">
        <v>183</v>
      </c>
      <c r="F40" s="93" t="s">
        <v>181</v>
      </c>
      <c r="G40" s="94" t="s">
        <v>278</v>
      </c>
      <c r="H40" s="93" t="s">
        <v>13</v>
      </c>
      <c r="I40" s="94" t="s">
        <v>514</v>
      </c>
      <c r="J40" s="93"/>
      <c r="K40" s="131" t="s">
        <v>173</v>
      </c>
      <c r="L40" s="80">
        <v>0.5</v>
      </c>
      <c r="M40" s="131" t="s">
        <v>159</v>
      </c>
      <c r="N40" s="80" t="s">
        <v>15</v>
      </c>
      <c r="O40" s="131" t="s">
        <v>183</v>
      </c>
    </row>
    <row r="41" spans="1:15" ht="15.75" thickBot="1">
      <c r="A41" s="91" t="s">
        <v>563</v>
      </c>
      <c r="B41" s="86" t="s">
        <v>276</v>
      </c>
      <c r="C41" s="94" t="s">
        <v>564</v>
      </c>
      <c r="D41" s="93" t="s">
        <v>466</v>
      </c>
      <c r="E41" s="94" t="s">
        <v>183</v>
      </c>
      <c r="F41" s="93" t="s">
        <v>181</v>
      </c>
      <c r="G41" s="94" t="s">
        <v>565</v>
      </c>
      <c r="H41" s="93" t="s">
        <v>13</v>
      </c>
      <c r="I41" s="94" t="s">
        <v>514</v>
      </c>
      <c r="J41" s="93"/>
      <c r="K41" s="131" t="s">
        <v>173</v>
      </c>
      <c r="L41" s="80">
        <v>4.5</v>
      </c>
      <c r="M41" s="131" t="s">
        <v>159</v>
      </c>
      <c r="N41" s="80" t="s">
        <v>15</v>
      </c>
      <c r="O41" s="131" t="s">
        <v>183</v>
      </c>
    </row>
    <row r="42" spans="1:15" ht="15.75" thickBot="1">
      <c r="A42" s="91" t="s">
        <v>279</v>
      </c>
      <c r="B42" s="86" t="s">
        <v>276</v>
      </c>
      <c r="C42" s="94" t="s">
        <v>280</v>
      </c>
      <c r="D42" s="93" t="s">
        <v>466</v>
      </c>
      <c r="E42" s="94" t="s">
        <v>183</v>
      </c>
      <c r="F42" s="93" t="s">
        <v>181</v>
      </c>
      <c r="G42" s="94" t="s">
        <v>281</v>
      </c>
      <c r="H42" s="93" t="s">
        <v>13</v>
      </c>
      <c r="I42" s="94" t="s">
        <v>514</v>
      </c>
      <c r="J42" s="93"/>
      <c r="K42" s="131" t="s">
        <v>173</v>
      </c>
      <c r="L42" s="80">
        <v>245</v>
      </c>
      <c r="M42" s="131" t="s">
        <v>159</v>
      </c>
      <c r="N42" s="80" t="s">
        <v>15</v>
      </c>
      <c r="O42" s="131" t="s">
        <v>183</v>
      </c>
    </row>
    <row r="43" spans="1:15" ht="15.75" thickBot="1">
      <c r="A43" s="91" t="s">
        <v>527</v>
      </c>
      <c r="B43" s="86" t="s">
        <v>142</v>
      </c>
      <c r="C43" s="94" t="s">
        <v>158</v>
      </c>
      <c r="D43" s="93" t="s">
        <v>27</v>
      </c>
      <c r="E43" s="94" t="s">
        <v>28</v>
      </c>
      <c r="F43" s="93" t="s">
        <v>181</v>
      </c>
      <c r="G43" s="94" t="s">
        <v>528</v>
      </c>
      <c r="H43" s="93" t="s">
        <v>18</v>
      </c>
      <c r="I43" s="94" t="s">
        <v>514</v>
      </c>
      <c r="J43" s="93" t="s">
        <v>529</v>
      </c>
      <c r="K43" s="131" t="s">
        <v>173</v>
      </c>
      <c r="L43" s="80">
        <v>152</v>
      </c>
      <c r="M43" s="131" t="s">
        <v>159</v>
      </c>
      <c r="N43" s="80" t="s">
        <v>15</v>
      </c>
      <c r="O43" s="131" t="s">
        <v>28</v>
      </c>
    </row>
    <row r="44" spans="1:15" ht="15.75" thickBot="1">
      <c r="A44" s="91" t="s">
        <v>566</v>
      </c>
      <c r="B44" s="86" t="s">
        <v>567</v>
      </c>
      <c r="C44" s="94" t="s">
        <v>158</v>
      </c>
      <c r="D44" s="93" t="s">
        <v>557</v>
      </c>
      <c r="E44" s="94" t="s">
        <v>183</v>
      </c>
      <c r="F44" s="93" t="s">
        <v>181</v>
      </c>
      <c r="G44" s="94" t="s">
        <v>568</v>
      </c>
      <c r="H44" s="93" t="s">
        <v>158</v>
      </c>
      <c r="I44" s="94" t="s">
        <v>514</v>
      </c>
      <c r="J44" s="93" t="s">
        <v>569</v>
      </c>
      <c r="K44" s="131" t="s">
        <v>173</v>
      </c>
      <c r="L44" s="80">
        <v>6</v>
      </c>
      <c r="M44" s="131" t="s">
        <v>159</v>
      </c>
      <c r="N44" s="80" t="s">
        <v>15</v>
      </c>
      <c r="O44" s="131" t="s">
        <v>183</v>
      </c>
    </row>
    <row r="45" spans="1:15" ht="15.75" thickBot="1">
      <c r="A45" s="91" t="s">
        <v>282</v>
      </c>
      <c r="B45" s="86" t="s">
        <v>200</v>
      </c>
      <c r="C45" s="94" t="s">
        <v>283</v>
      </c>
      <c r="D45" s="93" t="s">
        <v>27</v>
      </c>
      <c r="E45" s="94" t="s">
        <v>28</v>
      </c>
      <c r="F45" s="93" t="s">
        <v>181</v>
      </c>
      <c r="G45" s="94" t="s">
        <v>284</v>
      </c>
      <c r="H45" s="93" t="s">
        <v>18</v>
      </c>
      <c r="I45" s="94" t="s">
        <v>514</v>
      </c>
      <c r="J45" s="93"/>
      <c r="K45" s="131" t="s">
        <v>173</v>
      </c>
      <c r="L45" s="80">
        <v>44</v>
      </c>
      <c r="M45" s="131" t="s">
        <v>159</v>
      </c>
      <c r="N45" s="80" t="s">
        <v>15</v>
      </c>
      <c r="O45" s="131" t="s">
        <v>28</v>
      </c>
    </row>
    <row r="46" spans="1:15" ht="15.75" thickBot="1">
      <c r="A46" s="91" t="s">
        <v>285</v>
      </c>
      <c r="B46" s="86" t="s">
        <v>200</v>
      </c>
      <c r="C46" s="94" t="s">
        <v>250</v>
      </c>
      <c r="D46" s="93" t="s">
        <v>466</v>
      </c>
      <c r="E46" s="94" t="s">
        <v>183</v>
      </c>
      <c r="F46" s="93" t="s">
        <v>181</v>
      </c>
      <c r="G46" s="94" t="s">
        <v>286</v>
      </c>
      <c r="H46" s="93" t="s">
        <v>13</v>
      </c>
      <c r="I46" s="94" t="s">
        <v>514</v>
      </c>
      <c r="J46" s="93"/>
      <c r="K46" s="131" t="s">
        <v>173</v>
      </c>
      <c r="L46" s="80">
        <v>21</v>
      </c>
      <c r="M46" s="131" t="s">
        <v>159</v>
      </c>
      <c r="N46" s="80" t="s">
        <v>15</v>
      </c>
      <c r="O46" s="131" t="s">
        <v>183</v>
      </c>
    </row>
    <row r="47" spans="1:15" ht="15.75" thickBot="1">
      <c r="A47" s="91" t="s">
        <v>460</v>
      </c>
      <c r="B47" s="86" t="s">
        <v>44</v>
      </c>
      <c r="C47" s="94" t="s">
        <v>461</v>
      </c>
      <c r="D47" s="93" t="s">
        <v>158</v>
      </c>
      <c r="E47" s="94" t="s">
        <v>22</v>
      </c>
      <c r="F47" s="93" t="s">
        <v>181</v>
      </c>
      <c r="G47" s="94" t="s">
        <v>530</v>
      </c>
      <c r="H47" s="93" t="s">
        <v>13</v>
      </c>
      <c r="I47" s="94" t="s">
        <v>514</v>
      </c>
      <c r="J47" s="93"/>
      <c r="K47" s="131" t="s">
        <v>173</v>
      </c>
      <c r="L47" s="80">
        <v>225</v>
      </c>
      <c r="M47" s="131" t="s">
        <v>159</v>
      </c>
      <c r="N47" s="80" t="s">
        <v>15</v>
      </c>
      <c r="O47" s="131" t="s">
        <v>22</v>
      </c>
    </row>
    <row r="48" spans="1:15" ht="15.75" thickBot="1">
      <c r="A48" s="91" t="s">
        <v>462</v>
      </c>
      <c r="B48" s="86" t="s">
        <v>463</v>
      </c>
      <c r="C48" s="94" t="s">
        <v>464</v>
      </c>
      <c r="D48" s="93" t="s">
        <v>158</v>
      </c>
      <c r="E48" s="94" t="s">
        <v>158</v>
      </c>
      <c r="F48" s="93" t="s">
        <v>185</v>
      </c>
      <c r="G48" s="94" t="s">
        <v>158</v>
      </c>
      <c r="H48" s="93" t="s">
        <v>161</v>
      </c>
      <c r="I48" s="94" t="s">
        <v>514</v>
      </c>
      <c r="J48" s="93"/>
      <c r="K48" s="131" t="s">
        <v>173</v>
      </c>
      <c r="L48" s="80">
        <v>0</v>
      </c>
      <c r="M48" s="131" t="s">
        <v>160</v>
      </c>
      <c r="N48" s="80" t="s">
        <v>15</v>
      </c>
      <c r="O48" s="131" t="s">
        <v>28</v>
      </c>
    </row>
    <row r="49" spans="1:15" ht="15.75" thickBot="1">
      <c r="A49" s="91" t="s">
        <v>287</v>
      </c>
      <c r="B49" s="86" t="s">
        <v>44</v>
      </c>
      <c r="C49" s="94" t="s">
        <v>288</v>
      </c>
      <c r="D49" s="93" t="s">
        <v>16</v>
      </c>
      <c r="E49" s="94" t="s">
        <v>17</v>
      </c>
      <c r="F49" s="93" t="s">
        <v>181</v>
      </c>
      <c r="G49" s="94" t="s">
        <v>289</v>
      </c>
      <c r="H49" s="93" t="s">
        <v>18</v>
      </c>
      <c r="I49" s="94" t="s">
        <v>514</v>
      </c>
      <c r="J49" s="93"/>
      <c r="K49" s="81" t="s">
        <v>173</v>
      </c>
      <c r="L49" s="80">
        <v>119</v>
      </c>
      <c r="M49" s="81" t="s">
        <v>159</v>
      </c>
      <c r="N49" s="80" t="s">
        <v>15</v>
      </c>
      <c r="O49" s="81" t="s">
        <v>17</v>
      </c>
    </row>
    <row r="50" spans="1:15" ht="15.75" thickBot="1">
      <c r="A50" s="91" t="s">
        <v>112</v>
      </c>
      <c r="B50" s="86" t="s">
        <v>186</v>
      </c>
      <c r="C50" s="94" t="s">
        <v>103</v>
      </c>
      <c r="D50" s="93" t="s">
        <v>27</v>
      </c>
      <c r="E50" s="94" t="s">
        <v>28</v>
      </c>
      <c r="F50" s="93" t="s">
        <v>172</v>
      </c>
      <c r="G50" s="94" t="s">
        <v>290</v>
      </c>
      <c r="H50" s="93" t="s">
        <v>18</v>
      </c>
      <c r="I50" s="94" t="s">
        <v>490</v>
      </c>
      <c r="J50" s="93"/>
      <c r="K50" s="81" t="s">
        <v>172</v>
      </c>
      <c r="L50" s="80">
        <v>108</v>
      </c>
      <c r="M50" s="81" t="s">
        <v>159</v>
      </c>
      <c r="N50" s="80" t="s">
        <v>15</v>
      </c>
      <c r="O50" s="81" t="s">
        <v>28</v>
      </c>
    </row>
    <row r="51" spans="1:15" ht="15.75" thickBot="1">
      <c r="A51" s="91" t="s">
        <v>291</v>
      </c>
      <c r="B51" s="86" t="s">
        <v>186</v>
      </c>
      <c r="C51" s="94" t="s">
        <v>292</v>
      </c>
      <c r="D51" s="93" t="s">
        <v>27</v>
      </c>
      <c r="E51" s="94" t="s">
        <v>28</v>
      </c>
      <c r="F51" s="93" t="s">
        <v>181</v>
      </c>
      <c r="G51" s="94" t="s">
        <v>192</v>
      </c>
      <c r="H51" s="93" t="s">
        <v>18</v>
      </c>
      <c r="I51" s="94" t="s">
        <v>514</v>
      </c>
      <c r="J51" s="93"/>
      <c r="K51" s="81" t="s">
        <v>173</v>
      </c>
      <c r="L51" s="80">
        <v>85</v>
      </c>
      <c r="M51" s="81" t="s">
        <v>159</v>
      </c>
      <c r="N51" s="80" t="s">
        <v>15</v>
      </c>
      <c r="O51" s="81" t="s">
        <v>28</v>
      </c>
    </row>
    <row r="52" spans="1:15" ht="15.75" thickBot="1">
      <c r="A52" s="91" t="s">
        <v>531</v>
      </c>
      <c r="B52" s="86" t="s">
        <v>532</v>
      </c>
      <c r="C52" s="94" t="s">
        <v>158</v>
      </c>
      <c r="D52" s="93" t="s">
        <v>27</v>
      </c>
      <c r="E52" s="94" t="s">
        <v>28</v>
      </c>
      <c r="F52" s="93" t="s">
        <v>181</v>
      </c>
      <c r="G52" s="94" t="s">
        <v>533</v>
      </c>
      <c r="H52" s="93" t="s">
        <v>18</v>
      </c>
      <c r="I52" s="94" t="s">
        <v>514</v>
      </c>
      <c r="J52" s="93" t="s">
        <v>534</v>
      </c>
      <c r="K52" s="81" t="s">
        <v>173</v>
      </c>
      <c r="L52" s="80">
        <v>200</v>
      </c>
      <c r="M52" s="81" t="s">
        <v>159</v>
      </c>
      <c r="N52" s="80" t="s">
        <v>15</v>
      </c>
      <c r="O52" s="81" t="s">
        <v>28</v>
      </c>
    </row>
    <row r="53" spans="1:15" ht="15.75" thickBot="1">
      <c r="A53" s="91" t="s">
        <v>535</v>
      </c>
      <c r="B53" s="86" t="s">
        <v>532</v>
      </c>
      <c r="C53" s="94" t="s">
        <v>158</v>
      </c>
      <c r="D53" s="93" t="s">
        <v>27</v>
      </c>
      <c r="E53" s="94" t="s">
        <v>28</v>
      </c>
      <c r="F53" s="93" t="s">
        <v>181</v>
      </c>
      <c r="G53" s="94" t="s">
        <v>533</v>
      </c>
      <c r="H53" s="93" t="s">
        <v>18</v>
      </c>
      <c r="I53" s="94" t="s">
        <v>514</v>
      </c>
      <c r="J53" s="93" t="s">
        <v>534</v>
      </c>
      <c r="K53" s="81" t="s">
        <v>173</v>
      </c>
      <c r="L53" s="80">
        <v>200</v>
      </c>
      <c r="M53" s="81" t="s">
        <v>159</v>
      </c>
      <c r="N53" s="80" t="s">
        <v>15</v>
      </c>
      <c r="O53" s="81" t="s">
        <v>28</v>
      </c>
    </row>
    <row r="54" spans="1:15" ht="15.75" thickBot="1">
      <c r="A54" s="91" t="s">
        <v>536</v>
      </c>
      <c r="B54" s="86" t="s">
        <v>523</v>
      </c>
      <c r="C54" s="94" t="s">
        <v>158</v>
      </c>
      <c r="D54" s="93" t="s">
        <v>16</v>
      </c>
      <c r="E54" s="94" t="s">
        <v>17</v>
      </c>
      <c r="F54" s="93" t="s">
        <v>181</v>
      </c>
      <c r="G54" s="94" t="s">
        <v>537</v>
      </c>
      <c r="H54" s="93" t="s">
        <v>18</v>
      </c>
      <c r="I54" s="94" t="s">
        <v>514</v>
      </c>
      <c r="J54" s="93" t="s">
        <v>538</v>
      </c>
      <c r="K54" s="81" t="s">
        <v>173</v>
      </c>
      <c r="L54" s="80">
        <v>183.6</v>
      </c>
      <c r="M54" s="81" t="s">
        <v>159</v>
      </c>
      <c r="N54" s="80" t="s">
        <v>15</v>
      </c>
      <c r="O54" s="81" t="s">
        <v>17</v>
      </c>
    </row>
    <row r="55" spans="1:15" ht="15.75" thickBot="1">
      <c r="A55" s="91" t="s">
        <v>480</v>
      </c>
      <c r="B55" s="86" t="s">
        <v>481</v>
      </c>
      <c r="C55" s="94" t="s">
        <v>28</v>
      </c>
      <c r="D55" s="93" t="s">
        <v>27</v>
      </c>
      <c r="E55" s="94" t="s">
        <v>28</v>
      </c>
      <c r="F55" s="93" t="s">
        <v>181</v>
      </c>
      <c r="G55" s="94" t="s">
        <v>482</v>
      </c>
      <c r="H55" s="93" t="s">
        <v>161</v>
      </c>
      <c r="I55" s="94" t="s">
        <v>514</v>
      </c>
      <c r="J55" s="93"/>
      <c r="K55" s="81" t="s">
        <v>173</v>
      </c>
      <c r="L55" s="80">
        <v>1.8</v>
      </c>
      <c r="M55" s="81" t="s">
        <v>159</v>
      </c>
      <c r="N55" s="80" t="s">
        <v>15</v>
      </c>
      <c r="O55" s="81" t="s">
        <v>28</v>
      </c>
    </row>
    <row r="56" spans="1:15" ht="15.75" thickBot="1">
      <c r="A56" s="91" t="s">
        <v>293</v>
      </c>
      <c r="B56" s="86" t="s">
        <v>294</v>
      </c>
      <c r="C56" s="94" t="s">
        <v>110</v>
      </c>
      <c r="D56" s="93" t="s">
        <v>27</v>
      </c>
      <c r="E56" s="94" t="s">
        <v>28</v>
      </c>
      <c r="F56" s="93" t="s">
        <v>181</v>
      </c>
      <c r="G56" s="94" t="s">
        <v>196</v>
      </c>
      <c r="H56" s="93" t="s">
        <v>18</v>
      </c>
      <c r="I56" s="94" t="s">
        <v>514</v>
      </c>
      <c r="J56" s="93"/>
      <c r="K56" s="81" t="s">
        <v>173</v>
      </c>
      <c r="L56" s="80">
        <v>140</v>
      </c>
      <c r="M56" s="81" t="s">
        <v>159</v>
      </c>
      <c r="N56" s="80" t="s">
        <v>15</v>
      </c>
      <c r="O56" s="81" t="s">
        <v>28</v>
      </c>
    </row>
    <row r="57" spans="1:15" ht="15.75" thickBot="1">
      <c r="A57" s="91" t="s">
        <v>113</v>
      </c>
      <c r="B57" s="86" t="s">
        <v>295</v>
      </c>
      <c r="C57" s="94" t="s">
        <v>114</v>
      </c>
      <c r="D57" s="93" t="s">
        <v>16</v>
      </c>
      <c r="E57" s="94" t="s">
        <v>17</v>
      </c>
      <c r="F57" s="93" t="s">
        <v>172</v>
      </c>
      <c r="G57" s="94" t="s">
        <v>296</v>
      </c>
      <c r="H57" s="93" t="s">
        <v>18</v>
      </c>
      <c r="I57" s="94" t="s">
        <v>468</v>
      </c>
      <c r="J57" s="93"/>
      <c r="K57" s="81" t="s">
        <v>172</v>
      </c>
      <c r="L57" s="80">
        <v>125</v>
      </c>
      <c r="M57" s="81" t="s">
        <v>159</v>
      </c>
      <c r="N57" s="80" t="s">
        <v>15</v>
      </c>
      <c r="O57" s="81" t="s">
        <v>17</v>
      </c>
    </row>
    <row r="58" spans="1:15" ht="15.75" thickBot="1">
      <c r="A58" s="91" t="s">
        <v>297</v>
      </c>
      <c r="B58" s="86" t="s">
        <v>184</v>
      </c>
      <c r="C58" s="94" t="s">
        <v>298</v>
      </c>
      <c r="D58" s="93" t="s">
        <v>16</v>
      </c>
      <c r="E58" s="94" t="s">
        <v>17</v>
      </c>
      <c r="F58" s="93" t="s">
        <v>181</v>
      </c>
      <c r="G58" s="94" t="s">
        <v>299</v>
      </c>
      <c r="H58" s="93" t="s">
        <v>18</v>
      </c>
      <c r="I58" s="94" t="s">
        <v>514</v>
      </c>
      <c r="J58" s="93" t="s">
        <v>483</v>
      </c>
      <c r="K58" s="81" t="s">
        <v>173</v>
      </c>
      <c r="L58" s="80">
        <v>400</v>
      </c>
      <c r="M58" s="81" t="s">
        <v>159</v>
      </c>
      <c r="N58" s="80" t="s">
        <v>15</v>
      </c>
      <c r="O58" s="81" t="s">
        <v>17</v>
      </c>
    </row>
    <row r="59" spans="1:15" ht="15.75" thickBot="1">
      <c r="A59" s="91" t="s">
        <v>300</v>
      </c>
      <c r="B59" s="86" t="s">
        <v>301</v>
      </c>
      <c r="C59" s="94" t="s">
        <v>103</v>
      </c>
      <c r="D59" s="93" t="s">
        <v>25</v>
      </c>
      <c r="E59" s="94" t="s">
        <v>201</v>
      </c>
      <c r="F59" s="93" t="s">
        <v>181</v>
      </c>
      <c r="G59" s="94" t="s">
        <v>189</v>
      </c>
      <c r="H59" s="93" t="s">
        <v>13</v>
      </c>
      <c r="I59" s="94" t="s">
        <v>514</v>
      </c>
      <c r="J59" s="93"/>
      <c r="K59" s="81" t="s">
        <v>173</v>
      </c>
      <c r="L59" s="80">
        <v>15</v>
      </c>
      <c r="M59" s="81" t="s">
        <v>159</v>
      </c>
      <c r="N59" s="80" t="s">
        <v>15</v>
      </c>
      <c r="O59" s="81" t="s">
        <v>168</v>
      </c>
    </row>
    <row r="60" spans="1:15">
      <c r="A60" s="95" t="s">
        <v>302</v>
      </c>
      <c r="B60" s="96" t="s">
        <v>303</v>
      </c>
      <c r="C60" s="97" t="s">
        <v>304</v>
      </c>
      <c r="D60" s="98" t="s">
        <v>16</v>
      </c>
      <c r="E60" s="97" t="s">
        <v>17</v>
      </c>
      <c r="F60" s="98" t="s">
        <v>181</v>
      </c>
      <c r="G60" s="97" t="s">
        <v>305</v>
      </c>
      <c r="H60" s="98" t="s">
        <v>18</v>
      </c>
      <c r="I60" s="97" t="s">
        <v>198</v>
      </c>
      <c r="J60" s="98"/>
      <c r="K60" s="81" t="s">
        <v>173</v>
      </c>
      <c r="L60" s="80">
        <v>635.79999999999995</v>
      </c>
      <c r="M60" s="81" t="s">
        <v>159</v>
      </c>
      <c r="N60" s="80" t="s">
        <v>15</v>
      </c>
      <c r="O60" s="81" t="s">
        <v>17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9A48-A1D6-4E31-BDF1-A2D2280E4222}">
  <dimension ref="B1:M47"/>
  <sheetViews>
    <sheetView workbookViewId="0"/>
  </sheetViews>
  <sheetFormatPr defaultColWidth="9.140625" defaultRowHeight="15"/>
  <cols>
    <col min="1" max="1" width="2.140625" style="113" customWidth="1"/>
    <col min="2" max="2" width="23.140625" style="113" customWidth="1"/>
    <col min="3" max="3" width="11.140625" style="113" bestFit="1" customWidth="1"/>
    <col min="4" max="11" width="10.140625" style="113" customWidth="1"/>
    <col min="12" max="12" width="9.140625" style="113"/>
    <col min="13" max="13" width="11.42578125" style="113" customWidth="1"/>
    <col min="14" max="16384" width="9.140625" style="113"/>
  </cols>
  <sheetData>
    <row r="1" spans="2:11" ht="19.5">
      <c r="B1" s="112" t="s">
        <v>494</v>
      </c>
    </row>
    <row r="2" spans="2:11" ht="36.75" customHeight="1">
      <c r="B2" s="156" t="s">
        <v>539</v>
      </c>
      <c r="C2" s="156"/>
      <c r="D2" s="156"/>
      <c r="E2" s="156"/>
      <c r="F2" s="156"/>
      <c r="G2" s="156"/>
      <c r="H2" s="156"/>
      <c r="I2" s="156"/>
      <c r="J2" s="156"/>
      <c r="K2" s="156"/>
    </row>
    <row r="3" spans="2:11" ht="35.25" customHeight="1">
      <c r="B3" s="156" t="s">
        <v>540</v>
      </c>
      <c r="C3" s="156"/>
      <c r="D3" s="156"/>
      <c r="E3" s="156"/>
      <c r="F3" s="156"/>
      <c r="G3" s="156"/>
      <c r="H3" s="156"/>
      <c r="I3" s="156"/>
      <c r="J3" s="156"/>
      <c r="K3" s="156"/>
    </row>
    <row r="4" spans="2:11" ht="14.25" customHeight="1">
      <c r="B4" s="160" t="s">
        <v>541</v>
      </c>
      <c r="C4" s="160"/>
      <c r="D4" s="160"/>
      <c r="E4" s="160"/>
      <c r="F4" s="160"/>
      <c r="G4" s="160"/>
      <c r="H4" s="160"/>
      <c r="I4" s="160"/>
      <c r="J4" s="160"/>
      <c r="K4" s="160"/>
    </row>
    <row r="5" spans="2:11" ht="39" customHeight="1">
      <c r="B5" s="161" t="s">
        <v>542</v>
      </c>
      <c r="C5" s="161"/>
      <c r="D5" s="161"/>
      <c r="E5" s="161"/>
      <c r="F5" s="161"/>
      <c r="G5" s="161"/>
      <c r="H5" s="161"/>
      <c r="I5" s="161"/>
      <c r="J5" s="161"/>
      <c r="K5" s="161"/>
    </row>
    <row r="6" spans="2:11" ht="13.5" customHeight="1">
      <c r="B6" s="114"/>
      <c r="C6" s="114"/>
      <c r="D6" s="114"/>
      <c r="E6" s="114"/>
      <c r="F6" s="114"/>
      <c r="G6" s="114"/>
      <c r="H6" s="114"/>
      <c r="I6" s="114"/>
      <c r="J6" s="114"/>
      <c r="K6" s="114"/>
    </row>
    <row r="7" spans="2:11" ht="49.5" customHeight="1">
      <c r="B7" s="160" t="s">
        <v>551</v>
      </c>
      <c r="C7" s="160"/>
      <c r="D7" s="160"/>
      <c r="E7" s="160"/>
      <c r="F7" s="160"/>
      <c r="G7" s="160"/>
      <c r="H7" s="160"/>
      <c r="I7" s="160"/>
      <c r="J7" s="160"/>
      <c r="K7" s="160"/>
    </row>
    <row r="8" spans="2:11" ht="13.5" customHeight="1">
      <c r="B8" s="114"/>
      <c r="C8" s="114"/>
      <c r="D8" s="114"/>
      <c r="E8" s="114"/>
      <c r="F8" s="114"/>
      <c r="G8" s="114"/>
      <c r="H8" s="114"/>
      <c r="I8" s="114"/>
      <c r="J8" s="114"/>
      <c r="K8" s="114"/>
    </row>
    <row r="9" spans="2:11">
      <c r="B9" s="116" t="s">
        <v>376</v>
      </c>
    </row>
    <row r="10" spans="2:11" ht="28.5" customHeight="1">
      <c r="B10" s="156" t="s">
        <v>377</v>
      </c>
      <c r="C10" s="156"/>
      <c r="D10" s="156"/>
      <c r="E10" s="156"/>
      <c r="F10" s="156"/>
      <c r="G10" s="156"/>
      <c r="H10" s="156"/>
      <c r="I10" s="156"/>
      <c r="J10" s="156"/>
      <c r="K10" s="156"/>
    </row>
    <row r="11" spans="2:11" ht="39" customHeight="1">
      <c r="B11" s="156" t="s">
        <v>378</v>
      </c>
      <c r="C11" s="156"/>
      <c r="D11" s="156"/>
      <c r="E11" s="156"/>
      <c r="F11" s="156"/>
      <c r="G11" s="156"/>
      <c r="H11" s="156"/>
      <c r="I11" s="156"/>
      <c r="J11" s="156"/>
      <c r="K11" s="156"/>
    </row>
    <row r="12" spans="2:11" ht="15.75" customHeight="1">
      <c r="B12" s="115" t="s">
        <v>379</v>
      </c>
    </row>
    <row r="13" spans="2:11" ht="27" customHeight="1">
      <c r="B13" s="157" t="s">
        <v>380</v>
      </c>
      <c r="C13" s="158"/>
      <c r="D13" s="158"/>
      <c r="E13" s="158"/>
      <c r="F13" s="158"/>
      <c r="G13" s="158"/>
      <c r="H13" s="158"/>
      <c r="I13" s="158"/>
      <c r="J13" s="158"/>
      <c r="K13" s="158"/>
    </row>
    <row r="14" spans="2:11" ht="49.5" customHeight="1">
      <c r="B14" s="158" t="s">
        <v>381</v>
      </c>
      <c r="C14" s="158"/>
      <c r="D14" s="158"/>
      <c r="E14" s="158"/>
      <c r="F14" s="158"/>
      <c r="G14" s="158"/>
      <c r="H14" s="158"/>
      <c r="I14" s="158"/>
      <c r="J14" s="158"/>
      <c r="K14" s="158"/>
    </row>
    <row r="15" spans="2:11">
      <c r="B15" s="117"/>
    </row>
    <row r="16" spans="2:11">
      <c r="B16" s="118" t="s">
        <v>382</v>
      </c>
    </row>
    <row r="17" spans="2:12" ht="15.75" thickBot="1">
      <c r="B17" s="119" t="s">
        <v>383</v>
      </c>
      <c r="C17" s="127" t="s">
        <v>384</v>
      </c>
      <c r="D17" s="127" t="s">
        <v>385</v>
      </c>
    </row>
    <row r="18" spans="2:12" ht="16.5" thickTop="1" thickBot="1">
      <c r="B18" s="120" t="s">
        <v>386</v>
      </c>
      <c r="C18" s="121">
        <v>37</v>
      </c>
      <c r="D18" s="121">
        <v>15</v>
      </c>
    </row>
    <row r="19" spans="2:12" ht="15.75" thickBot="1">
      <c r="B19" s="120" t="s">
        <v>387</v>
      </c>
      <c r="C19" s="121">
        <v>42</v>
      </c>
      <c r="D19" s="121">
        <v>9</v>
      </c>
    </row>
    <row r="20" spans="2:12" ht="15.75" thickBot="1">
      <c r="B20" s="120" t="s">
        <v>388</v>
      </c>
      <c r="C20" s="121">
        <v>41</v>
      </c>
      <c r="D20" s="121">
        <v>8</v>
      </c>
    </row>
    <row r="21" spans="2:12" ht="15.75" thickBot="1">
      <c r="B21" s="120" t="s">
        <v>389</v>
      </c>
      <c r="C21" s="121">
        <v>43</v>
      </c>
      <c r="D21" s="121">
        <v>11</v>
      </c>
    </row>
    <row r="22" spans="2:12" ht="15.75" thickBot="1">
      <c r="B22" s="120" t="s">
        <v>390</v>
      </c>
      <c r="C22" s="121">
        <v>7.7</v>
      </c>
      <c r="D22" s="121">
        <v>1.2</v>
      </c>
    </row>
    <row r="23" spans="2:12">
      <c r="B23" s="122"/>
    </row>
    <row r="24" spans="2:12">
      <c r="B24" s="116" t="s">
        <v>391</v>
      </c>
    </row>
    <row r="25" spans="2:12" ht="25.5" customHeight="1">
      <c r="B25" s="156" t="s">
        <v>392</v>
      </c>
      <c r="C25" s="156"/>
      <c r="D25" s="156"/>
      <c r="E25" s="156"/>
      <c r="F25" s="156"/>
      <c r="G25" s="156"/>
      <c r="H25" s="156"/>
      <c r="I25" s="156"/>
      <c r="J25" s="156"/>
      <c r="K25" s="156"/>
    </row>
    <row r="26" spans="2:12">
      <c r="B26" s="115"/>
    </row>
    <row r="27" spans="2:12" ht="19.5">
      <c r="B27" s="123" t="s">
        <v>393</v>
      </c>
    </row>
    <row r="28" spans="2:12">
      <c r="B28" s="115" t="s">
        <v>394</v>
      </c>
    </row>
    <row r="29" spans="2:12" s="124" customFormat="1" ht="27.75" customHeight="1">
      <c r="B29" s="156" t="s">
        <v>552</v>
      </c>
      <c r="C29" s="156"/>
      <c r="D29" s="156"/>
      <c r="E29" s="156"/>
      <c r="F29" s="156"/>
      <c r="G29" s="156"/>
      <c r="H29" s="156"/>
      <c r="I29" s="156"/>
      <c r="J29" s="156"/>
      <c r="K29" s="156"/>
    </row>
    <row r="30" spans="2:12">
      <c r="B30" s="115" t="s">
        <v>543</v>
      </c>
    </row>
    <row r="31" spans="2:12">
      <c r="B31" s="117" t="s">
        <v>544</v>
      </c>
    </row>
    <row r="32" spans="2:12" ht="17.25" customHeight="1">
      <c r="B32" s="125"/>
      <c r="C32" s="159" t="s">
        <v>497</v>
      </c>
      <c r="D32" s="159"/>
      <c r="E32" s="159"/>
      <c r="F32" s="159"/>
      <c r="G32" s="159"/>
      <c r="H32" s="159"/>
      <c r="I32" s="159"/>
      <c r="J32" s="159"/>
      <c r="K32" s="159"/>
      <c r="L32" s="159"/>
    </row>
    <row r="33" spans="2:13" ht="30" customHeight="1">
      <c r="B33" s="117"/>
      <c r="C33" s="159" t="s">
        <v>545</v>
      </c>
      <c r="D33" s="159"/>
      <c r="E33" s="159"/>
      <c r="F33" s="159"/>
      <c r="G33" s="159"/>
      <c r="H33" s="159"/>
      <c r="I33" s="159"/>
      <c r="J33" s="159"/>
      <c r="K33" s="159"/>
      <c r="L33" s="159"/>
    </row>
    <row r="34" spans="2:13">
      <c r="B34" s="117" t="s">
        <v>495</v>
      </c>
    </row>
    <row r="35" spans="2:13" s="117" customFormat="1" ht="39.75" customHeight="1">
      <c r="C35" s="159" t="s">
        <v>553</v>
      </c>
      <c r="D35" s="159"/>
      <c r="E35" s="159"/>
      <c r="F35" s="159"/>
      <c r="G35" s="159"/>
      <c r="H35" s="159"/>
      <c r="I35" s="159"/>
      <c r="J35" s="159"/>
      <c r="K35" s="159"/>
      <c r="L35" s="159"/>
      <c r="M35" s="113"/>
    </row>
    <row r="36" spans="2:13" s="117" customFormat="1" ht="41.25" customHeight="1">
      <c r="C36" s="159" t="s">
        <v>496</v>
      </c>
      <c r="D36" s="159"/>
      <c r="E36" s="159"/>
      <c r="F36" s="159"/>
      <c r="G36" s="159"/>
      <c r="H36" s="159"/>
      <c r="I36" s="159"/>
      <c r="J36" s="159"/>
      <c r="K36" s="159"/>
      <c r="L36" s="159"/>
      <c r="M36" s="113"/>
    </row>
    <row r="37" spans="2:13" s="117" customFormat="1" ht="74.25" customHeight="1">
      <c r="C37" s="159" t="s">
        <v>546</v>
      </c>
      <c r="D37" s="159"/>
      <c r="E37" s="159"/>
      <c r="F37" s="159"/>
      <c r="G37" s="159"/>
      <c r="H37" s="159"/>
      <c r="I37" s="159"/>
      <c r="J37" s="159"/>
      <c r="K37" s="159"/>
      <c r="L37" s="159"/>
      <c r="M37" s="113"/>
    </row>
    <row r="38" spans="2:13" s="117" customFormat="1" ht="39" customHeight="1">
      <c r="C38" s="159" t="s">
        <v>547</v>
      </c>
      <c r="D38" s="159"/>
      <c r="E38" s="159"/>
      <c r="F38" s="159"/>
      <c r="G38" s="159"/>
      <c r="H38" s="159"/>
      <c r="I38" s="159"/>
      <c r="J38" s="159"/>
      <c r="K38" s="159"/>
      <c r="L38" s="159"/>
      <c r="M38" s="113"/>
    </row>
    <row r="39" spans="2:13" s="124" customFormat="1">
      <c r="B39" s="115"/>
    </row>
    <row r="40" spans="2:13" s="124" customFormat="1">
      <c r="B40" s="126" t="s">
        <v>395</v>
      </c>
    </row>
    <row r="41" spans="2:13" s="124" customFormat="1" ht="15.75" thickBot="1">
      <c r="B41" s="119" t="s">
        <v>396</v>
      </c>
      <c r="C41" s="154" t="s">
        <v>397</v>
      </c>
      <c r="D41" s="155"/>
      <c r="E41" s="155"/>
      <c r="F41" s="155"/>
      <c r="G41" s="155"/>
      <c r="H41" s="155"/>
      <c r="I41" s="155"/>
      <c r="J41" s="155"/>
    </row>
    <row r="42" spans="2:13" s="124" customFormat="1" ht="27.75" customHeight="1" thickTop="1" thickBot="1">
      <c r="B42" s="120" t="s">
        <v>398</v>
      </c>
      <c r="C42" s="151" t="s">
        <v>399</v>
      </c>
      <c r="D42" s="152"/>
      <c r="E42" s="152"/>
      <c r="F42" s="152"/>
      <c r="G42" s="152"/>
      <c r="H42" s="152"/>
      <c r="I42" s="152"/>
      <c r="J42" s="152"/>
    </row>
    <row r="43" spans="2:13" s="124" customFormat="1" ht="42.75" customHeight="1" thickBot="1">
      <c r="B43" s="120" t="s">
        <v>400</v>
      </c>
      <c r="C43" s="151" t="s">
        <v>401</v>
      </c>
      <c r="D43" s="152"/>
      <c r="E43" s="152"/>
      <c r="F43" s="152"/>
      <c r="G43" s="152"/>
      <c r="H43" s="152"/>
      <c r="I43" s="152"/>
      <c r="J43" s="152"/>
    </row>
    <row r="44" spans="2:13" s="124" customFormat="1" ht="46.5" customHeight="1" thickBot="1">
      <c r="B44" s="120" t="s">
        <v>554</v>
      </c>
      <c r="C44" s="151" t="s">
        <v>548</v>
      </c>
      <c r="D44" s="152"/>
      <c r="E44" s="152"/>
      <c r="F44" s="152"/>
      <c r="G44" s="152"/>
      <c r="H44" s="152"/>
      <c r="I44" s="152"/>
      <c r="J44" s="152"/>
    </row>
    <row r="45" spans="2:13" s="124" customFormat="1" ht="25.5" customHeight="1" thickBot="1">
      <c r="B45" s="120" t="s">
        <v>402</v>
      </c>
      <c r="C45" s="151" t="s">
        <v>403</v>
      </c>
      <c r="D45" s="152"/>
      <c r="E45" s="152"/>
      <c r="F45" s="152"/>
      <c r="G45" s="152"/>
      <c r="H45" s="152"/>
      <c r="I45" s="152"/>
      <c r="J45" s="152"/>
    </row>
    <row r="46" spans="2:13" s="124" customFormat="1" ht="23.25" customHeight="1" thickBot="1">
      <c r="B46" s="120" t="s">
        <v>549</v>
      </c>
      <c r="C46" s="151" t="s">
        <v>550</v>
      </c>
      <c r="D46" s="153"/>
      <c r="E46" s="153"/>
      <c r="F46" s="153"/>
      <c r="G46" s="153"/>
      <c r="H46" s="153"/>
      <c r="I46" s="153"/>
      <c r="J46" s="153"/>
    </row>
    <row r="47" spans="2:13" s="124" customFormat="1" ht="15.75" thickBot="1">
      <c r="B47" s="128"/>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NETWORKDEV-2134468847-13543</_dlc_DocId>
    <_dlc_DocIdUrl xmlns="a14523ce-dede-483e-883a-2d83261080bd">
      <Url>http://sharedocs/sites/nd/BusinessAsUsual/_layouts/15/DocIdRedir.aspx?ID=NETWORKDEV-2134468847-13543</Url>
      <Description>NETWORKDEV-2134468847-13543</Description>
    </_dlc_DocIdUrl>
  </documentManagement>
</p:properties>
</file>

<file path=customXml/item5.xml>��< ? x m l   v e r s i o n = " 1 . 0 "   e n c o d i n g = " u t f - 1 6 " ? > < D a t a M a s h u p   s q m i d = " c d 5 1 e 4 2 6 - 4 e 3 1 - 4 1 1 d - b c 8 0 - 9 d a d 8 4 d 2 a 4 6 b "   x m l n s = " h t t p : / / s c h e m a s . m i c r o s o f t . c o m / D a t a M a s h u p " > A A A A A B c D A A B Q S w M E F A A C A A g A 7 G P / T J 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7 G P / 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j / 0 w o i k e 4 D g A A A B E A A A A T A B w A R m 9 y b X V s Y X M v U 2 V j d G l v b j E u b S C i G A A o o B Q A A A A A A A A A A A A A A A A A A A A A A A A A A A A r T k 0 u y c z P U w i G 0 I b W A F B L A Q I t A B Q A A g A I A O x j / 0 y d S Y d a p w A A A P k A A A A S A A A A A A A A A A A A A A A A A A A A A A B D b 2 5 m a W c v U G F j a 2 F n Z S 5 4 b W x Q S w E C L Q A U A A I A C A D s Y / 9 M D 8 r p q 6 Q A A A D p A A A A E w A A A A A A A A A A A A A A A A D z A A A A W 0 N v b n R l b n R f V H l w Z X N d L n h t b F B L A Q I t A B Q A A g A I A O x j / 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e F 4 b t R j W R L U N x W c h p t r 8 A A A A A A I A A A A A A A N m A A D A A A A A E A A A A J n I Q q d S g r M M c g n l D P 1 w + p I A A A A A B I A A A K A A A A A Q A A A A L J x 6 c u 4 M U w o A U r v M P O W o 2 l A A A A C G r v I w b u O d 4 A G B C D 5 W f w i h 4 4 l w h q Z G h M 7 T p U x N q U v g b D f C w n 6 t s d H j 5 / B N t b s O L S P e i L o t 2 y f n P F 4 p C n s O i / p 3 n H T 8 d W O v n I z J V e / g G L J Z n h Q A A A A f z q S d x g J t q P 3 y / H U n S 2 x 3 C R D C a A = = < / D a t a M a s h u p > 
</file>

<file path=customXml/itemProps1.xml><?xml version="1.0" encoding="utf-8"?>
<ds:datastoreItem xmlns:ds="http://schemas.openxmlformats.org/officeDocument/2006/customXml" ds:itemID="{F4878AE5-7DB8-49BF-8A56-27450EDFAD43}">
  <ds:schemaRefs>
    <ds:schemaRef ds:uri="http://schemas.microsoft.com/sharepoint/v3/contenttype/forms"/>
  </ds:schemaRefs>
</ds:datastoreItem>
</file>

<file path=customXml/itemProps2.xml><?xml version="1.0" encoding="utf-8"?>
<ds:datastoreItem xmlns:ds="http://schemas.openxmlformats.org/officeDocument/2006/customXml" ds:itemID="{8DC19B98-0732-4658-ADA4-8E1A19F0FDC6}">
  <ds:schemaRefs>
    <ds:schemaRef ds:uri="http://schemas.microsoft.com/sharepoint/events"/>
  </ds:schemaRefs>
</ds:datastoreItem>
</file>

<file path=customXml/itemProps3.xml><?xml version="1.0" encoding="utf-8"?>
<ds:datastoreItem xmlns:ds="http://schemas.openxmlformats.org/officeDocument/2006/customXml" ds:itemID="{9E2B72FF-7F69-4D2B-B831-E69FF12C7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C22F2A-736E-4450-9C2E-4215F93DC058}">
  <ds:schemaRefs>
    <ds:schemaRef ds:uri="http://purl.org/dc/terms/"/>
    <ds:schemaRef ds:uri="http://schemas.microsoft.com/office/2006/documentManagement/types"/>
    <ds:schemaRef ds:uri="a14523ce-dede-483e-883a-2d83261080bd"/>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138A0179-0C1A-4FF5-89B7-03124AFE21A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Matthew Marston</cp:lastModifiedBy>
  <dcterms:created xsi:type="dcterms:W3CDTF">2014-03-07T16:08:25Z</dcterms:created>
  <dcterms:modified xsi:type="dcterms:W3CDTF">2018-07-31T04:10:14Z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46f3c276-a55e-42f3-96c6-16497d39c5e7</vt:lpwstr>
  </property>
  <property fmtid="{D5CDD505-2E9C-101B-9397-08002B2CF9AE}" pid="6" name="AEMODocumentType">
    <vt:lpwstr>3;#Operational Record|859762f2-4462-42eb-9744-c955c7e2c540</vt:lpwstr>
  </property>
</Properties>
</file>