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markets/o/sc/admin/Website submissions/2019 draft BRCP/"/>
    </mc:Choice>
  </mc:AlternateContent>
  <xr:revisionPtr revIDLastSave="0" documentId="8_{1DC4BE48-78E3-4DDF-A085-8B13FE45555D}" xr6:coauthVersionLast="31" xr6:coauthVersionMax="31" xr10:uidLastSave="{00000000-0000-0000-0000-000000000000}"/>
  <workbookProtection workbookAlgorithmName="SHA-512" workbookHashValue="MwaI+GArIMTLxeqO6tkKqju0XEi32yihYplUiPhpj9/AdWpjUo2n5Kih4Di13eBYZmwxnP3pra8DlGkqoN9c+Q==" workbookSaltValue="T9nfB1JeULwPm6Reukje9A==" workbookSpinCount="100000" lockStructure="1"/>
  <bookViews>
    <workbookView xWindow="-108" yWindow="96" windowWidth="15312" windowHeight="3528" tabRatio="890" activeTab="3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definedNames>
    <definedName name="_xlnm.Print_Area" localSheetId="3">'ANNUALISED_FIXED_O&amp;M'!$A$1:$X$152</definedName>
  </definedNames>
  <calcPr calcId="179017"/>
</workbook>
</file>

<file path=xl/calcChain.xml><?xml version="1.0" encoding="utf-8"?>
<calcChain xmlns="http://schemas.openxmlformats.org/spreadsheetml/2006/main">
  <c r="C14" i="5" l="1"/>
  <c r="C13" i="5"/>
  <c r="C12" i="5"/>
  <c r="C115" i="2" l="1"/>
  <c r="B115" i="2"/>
  <c r="B114" i="2" l="1"/>
  <c r="B3" i="6" l="1"/>
  <c r="C6" i="4" l="1"/>
  <c r="C113" i="2" l="1"/>
  <c r="C29" i="2" l="1"/>
  <c r="C30" i="2"/>
  <c r="C31" i="2"/>
  <c r="C32" i="2"/>
  <c r="B16" i="1" l="1"/>
  <c r="D6" i="4" l="1"/>
  <c r="M87" i="2"/>
  <c r="N87" i="2" s="1"/>
  <c r="B9" i="3"/>
  <c r="E6" i="9"/>
  <c r="E7" i="9"/>
  <c r="E8" i="9"/>
  <c r="E9" i="9"/>
  <c r="E10" i="9"/>
  <c r="E11" i="9"/>
  <c r="E5" i="9"/>
  <c r="H87" i="2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4" i="4"/>
  <c r="D5" i="4"/>
  <c r="D7" i="4"/>
  <c r="D8" i="4"/>
  <c r="D9" i="4"/>
  <c r="D10" i="4"/>
  <c r="D11" i="4"/>
  <c r="D12" i="4"/>
  <c r="D13" i="4"/>
  <c r="D14" i="4"/>
  <c r="D15" i="4"/>
  <c r="D18" i="2"/>
  <c r="E18" i="2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B29" i="2"/>
  <c r="B30" i="2"/>
  <c r="B31" i="2"/>
  <c r="B32" i="2"/>
  <c r="D51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/>
  <c r="F52" i="2"/>
  <c r="G52" i="2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B63" i="2"/>
  <c r="C63" i="2"/>
  <c r="B64" i="2"/>
  <c r="C64" i="2"/>
  <c r="B65" i="2"/>
  <c r="C65" i="2"/>
  <c r="B66" i="2"/>
  <c r="C66" i="2"/>
  <c r="D85" i="2"/>
  <c r="E85" i="2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/>
  <c r="G86" i="2"/>
  <c r="H86" i="2" s="1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I87" i="2"/>
  <c r="J87" i="2" s="1"/>
  <c r="E19" i="2" l="1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B18" i="4"/>
  <c r="C20" i="2"/>
  <c r="D53" i="2"/>
  <c r="D54" i="2" s="1"/>
  <c r="C54" i="2"/>
  <c r="M20" i="2"/>
  <c r="H20" i="2"/>
  <c r="E12" i="9"/>
  <c r="B29" i="9" s="1"/>
  <c r="B30" i="9" s="1"/>
  <c r="B31" i="9" s="1"/>
  <c r="B32" i="9" s="1"/>
  <c r="I20" i="2"/>
  <c r="M88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B3" i="3" s="1"/>
  <c r="C18" i="8"/>
  <c r="B15" i="3" s="1"/>
  <c r="B17" i="4"/>
  <c r="B20" i="4" s="1"/>
  <c r="B21" i="4" s="1"/>
  <c r="J88" i="2"/>
  <c r="K87" i="2"/>
  <c r="N88" i="2"/>
  <c r="O87" i="2"/>
  <c r="I88" i="2"/>
  <c r="E87" i="2"/>
  <c r="E88" i="2" s="1"/>
  <c r="Q53" i="2"/>
  <c r="Q54" i="2" s="1"/>
  <c r="O54" i="2"/>
  <c r="E53" i="2"/>
  <c r="K53" i="2" l="1"/>
  <c r="E20" i="2"/>
  <c r="F19" i="2"/>
  <c r="O19" i="2"/>
  <c r="N20" i="2"/>
  <c r="K19" i="2"/>
  <c r="J20" i="2"/>
  <c r="B106" i="2"/>
  <c r="B107" i="2"/>
  <c r="E22" i="9"/>
  <c r="B18" i="3" s="1"/>
  <c r="C21" i="2"/>
  <c r="C22" i="2" s="1"/>
  <c r="B21" i="3"/>
  <c r="O88" i="2"/>
  <c r="P87" i="2"/>
  <c r="L87" i="2"/>
  <c r="L88" i="2" s="1"/>
  <c r="K88" i="2"/>
  <c r="F87" i="2"/>
  <c r="K54" i="2"/>
  <c r="L53" i="2"/>
  <c r="L54" i="2" s="1"/>
  <c r="E54" i="2"/>
  <c r="F53" i="2"/>
  <c r="B26" i="3"/>
  <c r="C55" i="2"/>
  <c r="D55" i="2" s="1"/>
  <c r="C89" i="2"/>
  <c r="F20" i="2" l="1"/>
  <c r="G19" i="2"/>
  <c r="G20" i="2" s="1"/>
  <c r="C111" i="2"/>
  <c r="C116" i="2" s="1"/>
  <c r="C127" i="2" s="1"/>
  <c r="C90" i="2"/>
  <c r="P19" i="2"/>
  <c r="O20" i="2"/>
  <c r="K20" i="2"/>
  <c r="L19" i="2"/>
  <c r="L20" i="2" s="1"/>
  <c r="D21" i="2"/>
  <c r="D22" i="2" s="1"/>
  <c r="B24" i="3"/>
  <c r="B28" i="3" s="1"/>
  <c r="B13" i="1" s="1"/>
  <c r="C56" i="2"/>
  <c r="P88" i="2"/>
  <c r="Q87" i="2"/>
  <c r="Q88" i="2" s="1"/>
  <c r="F88" i="2"/>
  <c r="G87" i="2"/>
  <c r="G88" i="2" s="1"/>
  <c r="G53" i="2"/>
  <c r="G54" i="2" s="1"/>
  <c r="F54" i="2"/>
  <c r="D89" i="2"/>
  <c r="D90" i="2" s="1"/>
  <c r="E55" i="2"/>
  <c r="D56" i="2"/>
  <c r="P20" i="2" l="1"/>
  <c r="Q19" i="2"/>
  <c r="Q20" i="2" s="1"/>
  <c r="E21" i="2"/>
  <c r="F21" i="2" s="1"/>
  <c r="E89" i="2"/>
  <c r="E90" i="2" s="1"/>
  <c r="F55" i="2"/>
  <c r="E56" i="2"/>
  <c r="E22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C23" i="2"/>
  <c r="C24" i="2" s="1"/>
  <c r="C34" i="2" s="1"/>
  <c r="C92" i="2" l="1"/>
  <c r="C102" i="2" s="1"/>
  <c r="C149" i="2" s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Luke Dowling</author>
    <author>Neetika Kapani</author>
    <author>Katelyn Rigden</author>
  </authors>
  <commentList>
    <comment ref="B10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Costs escalated to 1/04/2021</t>
        </r>
      </text>
    </comment>
    <comment ref="B108" authorId="1" shapeId="0" xr:uid="{00000000-0006-0000-0300-000002000000}">
      <text>
        <r>
          <rPr>
            <sz val="9"/>
            <color indexed="81"/>
            <rFont val="Tahoma"/>
            <family val="2"/>
          </rPr>
          <t>Calculated an average from all premiums provided.</t>
        </r>
      </text>
    </comment>
    <comment ref="B109" authorId="2" shapeId="0" xr:uid="{00000000-0006-0000-0300-000003000000}">
      <text>
        <r>
          <rPr>
            <sz val="9"/>
            <color indexed="81"/>
            <rFont val="Tahoma"/>
            <family val="2"/>
          </rPr>
          <t>Consistant with 2017 and 2018 as per advice</t>
        </r>
      </text>
    </comment>
    <comment ref="B110" authorId="2" shapeId="0" xr:uid="{00000000-0006-0000-0300-000004000000}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Calculated as 2018 Premium  (inc 10% stamp duty) Esculated using CPI to April 2021. 
</t>
        </r>
      </text>
    </comment>
    <comment ref="B115" authorId="1" shapeId="0" xr:uid="{00000000-0006-0000-0300-000006000000}">
      <text>
        <r>
          <rPr>
            <sz val="9"/>
            <color indexed="81"/>
            <rFont val="Tahoma"/>
            <family val="2"/>
          </rPr>
          <t>As at 30 June 2018 escalated to April 2021 using CPI (based on insurance advice)</t>
        </r>
      </text>
    </comment>
    <comment ref="B133" authorId="1" shapeId="0" xr:uid="{00000000-0006-0000-0300-000007000000}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1" shapeId="0" xr:uid="{00000000-0006-0000-0300-000008000000}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1" shapeId="0" xr:uid="{00000000-0006-0000-0300-000009000000}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Neetika Kapani</author>
    <author>Ross Stottelaar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 xr:uid="{00000000-0006-0000-0900-000002000000}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<sst xmlns="http://schemas.openxmlformats.org/spreadsheetml/2006/main" count="282" uniqueCount="169">
  <si>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</si>
  <si>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</si>
  <si>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</si>
  <si>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</si>
  <si>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</si>
  <si>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</si>
  <si>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</si>
  <si>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</si>
  <si>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</si>
  <si>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</si>
  <si>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</si>
  <si>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</si>
  <si>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</si>
  <si>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</si>
  <si>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</si>
  <si>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</si>
  <si>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</si>
  <si>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</si>
  <si>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</si>
  <si>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</si>
  <si>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</si>
  <si>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</si>
  <si>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</si>
  <si>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</si>
  <si>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</si>
  <si>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</si>
  <si>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</si>
  <si>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</si>
  <si>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</si>
  <si>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</si>
  <si>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</si>
  <si>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</si>
  <si>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</si>
  <si>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</si>
  <si>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</si>
  <si>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</si>
  <si>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</si>
  <si>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</si>
  <si>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</si>
  <si>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</si>
  <si>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</si>
  <si>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</si>
  <si>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</si>
  <si>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</si>
  <si>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</si>
  <si>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</si>
  <si>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</si>
  <si>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</si>
  <si>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</si>
  <si>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</si>
  <si>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</si>
  <si>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</si>
  <si>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</si>
  <si>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</si>
  <si>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</si>
  <si>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</si>
  <si>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</si>
  <si>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</si>
  <si>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</si>
  <si>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</si>
  <si>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</si>
  <si>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</si>
  <si>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</si>
  <si>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</si>
  <si>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</si>
  <si>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</si>
  <si>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</si>
  <si>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</si>
  <si>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</si>
  <si>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</si>
  <si>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</si>
  <si>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</si>
  <si>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</si>
  <si>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</si>
  <si>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</si>
  <si>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</si>
  <si>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</si>
  <si>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</si>
  <si>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</si>
  <si>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</si>
  <si>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</si>
  <si>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</si>
  <si>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</si>
  <si>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</si>
  <si>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</si>
  <si>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</si>
  <si>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</si>
  <si>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</si>
  <si>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</si>
  <si>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</si>
  <si>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</si>
  <si>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</si>
  <si>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</si>
  <si>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</si>
  <si>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</si>
  <si>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</si>
  <si>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</si>
  <si>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</si>
  <si>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</si>
  <si>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</si>
  <si>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</si>
  <si>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</si>
  <si>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</si>
  <si>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</si>
  <si>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</si>
  <si>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</si>
  <si>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</si>
  <si>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</si>
  <si>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</si>
  <si>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</si>
  <si>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</si>
  <si>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</si>
  <si>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</si>
  <si>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</si>
  <si>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</si>
  <si>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</si>
  <si>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</si>
  <si>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</si>
  <si>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</si>
  <si>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</si>
  <si>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</si>
  <si>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</si>
  <si>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</si>
  <si>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</si>
  <si>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</si>
  <si>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</si>
  <si>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</si>
  <si>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</si>
  <si>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</si>
  <si>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</si>
  <si>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</si>
  <si>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</si>
  <si>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</si>
  <si>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</si>
  <si>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</si>
  <si>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</si>
  <si>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</si>
  <si>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</si>
  <si>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</si>
  <si>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</si>
  <si>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</si>
  <si>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</si>
  <si>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</si>
  <si>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</si>
  <si>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</si>
  <si>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</si>
  <si>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</si>
  <si>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</si>
  <si>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</si>
  <si>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</si>
  <si>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</si>
  <si>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</si>
  <si>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</si>
  <si>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</si>
  <si>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</si>
  <si>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</si>
  <si>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</si>
  <si>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</si>
  <si>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</si>
  <si>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</si>
  <si>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</si>
  <si>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</si>
  <si>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</si>
  <si>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</si>
  <si>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</si>
  <si>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</si>
  <si>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Total easement cost as at 30 June 2018</t>
  </si>
  <si>
    <t>Draft report for 2021-22</t>
  </si>
  <si>
    <t>Total easement cost 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</si>
</sst>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10" fontId="1" fillId="11" borderId="27" xfId="0" applyNumberFormat="1" applyFont="1" applyFill="1" applyBorder="1" applyAlignment="1" applyProtection="1">
      <alignment vertical="center"/>
      <protection locked="0"/>
    </xf>
    <xf numFmtId="10" fontId="1" fillId="11" borderId="28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 xr:uid="{00000000-0005-0000-0000-000002000000}"/>
    <cellStyle name="Normal 2 2" xfId="6" xr:uid="{00000000-0005-0000-0000-000003000000}"/>
    <cellStyle name="Percent" xfId="3" builtinId="5"/>
    <cellStyle name="Percent 2" xfId="4" xr:uid="{00000000-0005-0000-0000-000005000000}"/>
    <cellStyle name="Percent 2 2" xfId="7" xr:uid="{00000000-0005-0000-0000-000006000000}"/>
    <cellStyle name="Percent 3" xfId="5" xr:uid="{00000000-0005-0000-0000-000007000000}"/>
    <cellStyle name="Percent 3 2" xfId="8" xr:uid="{00000000-0005-0000-0000-000008000000}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9"/>
  <sheetViews>
    <sheetView showGridLines="0" workbookViewId="0">
      <selection activeCell="A22" sqref="A22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156</v>
      </c>
    </row>
    <row r="2" spans="1:1" ht="13.8" x14ac:dyDescent="0.25">
      <c r="A2" s="114" t="s">
        <v>167</v>
      </c>
    </row>
    <row r="4" spans="1:1" x14ac:dyDescent="0.25">
      <c r="A4" s="143" t="s">
        <v>157</v>
      </c>
    </row>
    <row r="6" spans="1:1" x14ac:dyDescent="0.25">
      <c r="A6" s="1" t="s">
        <v>78</v>
      </c>
    </row>
    <row r="7" spans="1:1" x14ac:dyDescent="0.25">
      <c r="A7" s="1" t="s">
        <v>79</v>
      </c>
    </row>
    <row r="9" spans="1:1" x14ac:dyDescent="0.25">
      <c r="A9" s="1" t="s">
        <v>80</v>
      </c>
    </row>
    <row r="10" spans="1:1" x14ac:dyDescent="0.25">
      <c r="A10" s="129" t="s">
        <v>151</v>
      </c>
    </row>
    <row r="11" spans="1:1" x14ac:dyDescent="0.25">
      <c r="A11" s="129" t="s">
        <v>150</v>
      </c>
    </row>
    <row r="12" spans="1:1" x14ac:dyDescent="0.25">
      <c r="A12" s="129" t="s">
        <v>152</v>
      </c>
    </row>
    <row r="13" spans="1:1" x14ac:dyDescent="0.25">
      <c r="A13" s="129" t="s">
        <v>153</v>
      </c>
    </row>
    <row r="14" spans="1:1" x14ac:dyDescent="0.25">
      <c r="A14" s="116" t="s">
        <v>133</v>
      </c>
    </row>
    <row r="15" spans="1:1" x14ac:dyDescent="0.25">
      <c r="A15" s="129" t="s">
        <v>154</v>
      </c>
    </row>
    <row r="16" spans="1:1" x14ac:dyDescent="0.25">
      <c r="A16" s="115" t="s">
        <v>134</v>
      </c>
    </row>
    <row r="17" spans="1:1" x14ac:dyDescent="0.25">
      <c r="A17" s="129" t="s">
        <v>155</v>
      </c>
    </row>
    <row r="18" spans="1:1" x14ac:dyDescent="0.25">
      <c r="A18" s="1"/>
    </row>
    <row r="19" spans="1:1" x14ac:dyDescent="0.25">
      <c r="A19" s="143" t="s">
        <v>158</v>
      </c>
    </row>
    <row r="20" spans="1:1" x14ac:dyDescent="0.25">
      <c r="A20" s="129" t="s">
        <v>81</v>
      </c>
    </row>
    <row r="21" spans="1:1" x14ac:dyDescent="0.25">
      <c r="A21" s="129" t="s">
        <v>159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32"/>
  <sheetViews>
    <sheetView showGridLines="0" workbookViewId="0">
      <selection activeCell="G27" sqref="G27"/>
    </sheetView>
  </sheetViews>
  <sheetFormatPr defaultColWidth="9.109375" defaultRowHeight="13.2" x14ac:dyDescent="0.25"/>
  <cols>
    <col min="1" max="1" width="35" style="9" bestFit="1" customWidth="1"/>
    <col min="2" max="2" width="21.88671875" style="9" customWidth="1"/>
    <col min="3" max="3" width="21.109375" style="9" bestFit="1" customWidth="1"/>
    <col min="4" max="4" width="24.6640625" style="9" bestFit="1" customWidth="1"/>
    <col min="5" max="5" width="15.109375" style="90" bestFit="1" customWidth="1"/>
    <col min="6" max="6" width="9.109375" style="9"/>
    <col min="7" max="7" width="8.5546875" style="9" customWidth="1"/>
    <col min="8" max="16384" width="9.109375" style="9"/>
  </cols>
  <sheetData>
    <row r="1" spans="1:10" s="19" customFormat="1" ht="18" thickBot="1" x14ac:dyDescent="0.35">
      <c r="A1" s="6" t="s">
        <v>91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8" thickBot="1" x14ac:dyDescent="0.3">
      <c r="G4" s="102" t="s">
        <v>137</v>
      </c>
    </row>
    <row r="5" spans="1:10" ht="13.8" thickBot="1" x14ac:dyDescent="0.3">
      <c r="A5" s="9" t="s">
        <v>55</v>
      </c>
      <c r="B5" s="3">
        <v>3</v>
      </c>
      <c r="C5" s="123">
        <v>1400000</v>
      </c>
      <c r="D5" s="123">
        <v>210215</v>
      </c>
      <c r="E5" s="91">
        <f>B5*C5+D5</f>
        <v>4410215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3">
        <v>2000000</v>
      </c>
      <c r="D6" s="123">
        <v>302915</v>
      </c>
      <c r="E6" s="91">
        <f t="shared" ref="E6:E11" si="0">B6*C6+D6</f>
        <v>6302915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3">
        <v>110000</v>
      </c>
      <c r="D8" s="123">
        <v>11590</v>
      </c>
      <c r="E8" s="91">
        <f t="shared" si="0"/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3">
        <v>125000</v>
      </c>
      <c r="D9" s="123">
        <v>13727.5</v>
      </c>
      <c r="E9" s="91">
        <f t="shared" si="0"/>
        <v>388727.5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4">
        <v>600000</v>
      </c>
      <c r="D11" s="124">
        <v>86615</v>
      </c>
      <c r="E11" s="91">
        <f t="shared" si="0"/>
        <v>1886615</v>
      </c>
      <c r="G11" s="19"/>
      <c r="H11" s="19"/>
      <c r="I11" s="19"/>
      <c r="J11" s="19"/>
    </row>
    <row r="12" spans="1:10" ht="13.8" thickBot="1" x14ac:dyDescent="0.3">
      <c r="A12" s="14" t="s">
        <v>98</v>
      </c>
      <c r="E12" s="87">
        <f>AVERAGE(E5:E11)</f>
        <v>2162849.2857142859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112</v>
      </c>
      <c r="B15" s="20"/>
      <c r="C15" s="20"/>
      <c r="D15" s="20"/>
      <c r="E15" s="31">
        <v>43281</v>
      </c>
    </row>
    <row r="16" spans="1:10" s="19" customFormat="1" ht="13.8" thickBot="1" x14ac:dyDescent="0.3">
      <c r="A16" s="20" t="s">
        <v>113</v>
      </c>
      <c r="B16" s="20"/>
      <c r="C16" s="20"/>
      <c r="D16" s="20"/>
      <c r="E16" s="32">
        <v>44287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130</v>
      </c>
      <c r="D18" s="92">
        <f>ESCALATION_FACTORS!$B$4</f>
        <v>43646</v>
      </c>
      <c r="E18" s="101">
        <f>VLOOKUP($E$14,ESCALATION_FACTORS!$A$5:$E$9,2,)</f>
        <v>0.02</v>
      </c>
      <c r="G18" s="19"/>
    </row>
    <row r="19" spans="1:7" ht="13.8" thickBot="1" x14ac:dyDescent="0.3">
      <c r="B19" s="14"/>
      <c r="D19" s="92">
        <f>ESCALATION_FACTORS!$C$4</f>
        <v>44012</v>
      </c>
      <c r="E19" s="101">
        <f>VLOOKUP($E$14,ESCALATION_FACTORS!$A$5:$E$9,3,)</f>
        <v>2.2499999999999999E-2</v>
      </c>
      <c r="G19" s="19"/>
    </row>
    <row r="20" spans="1:7" ht="13.8" thickBot="1" x14ac:dyDescent="0.3">
      <c r="B20" s="14"/>
      <c r="D20" s="92">
        <f>ESCALATION_FACTORS!$D$4</f>
        <v>44377</v>
      </c>
      <c r="E20" s="101">
        <f>VLOOKUP($E$14,ESCALATION_FACTORS!$A$5:$E$9,4,)</f>
        <v>2.375E-2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2295990.5310411188</v>
      </c>
    </row>
    <row r="28" spans="1:7" ht="13.8" thickBot="1" x14ac:dyDescent="0.3"/>
    <row r="29" spans="1:7" ht="13.8" thickBot="1" x14ac:dyDescent="0.3">
      <c r="A29" s="134" t="s">
        <v>135</v>
      </c>
      <c r="B29" s="135">
        <f>E12</f>
        <v>2162849.2857142859</v>
      </c>
      <c r="G29" s="17"/>
    </row>
    <row r="30" spans="1:7" ht="13.8" thickBot="1" x14ac:dyDescent="0.3">
      <c r="A30" s="136" t="s">
        <v>136</v>
      </c>
      <c r="B30" s="137">
        <f>B29/3</f>
        <v>720949.76190476201</v>
      </c>
      <c r="G30" s="110"/>
    </row>
    <row r="31" spans="1:7" ht="13.8" thickBot="1" x14ac:dyDescent="0.3">
      <c r="A31" s="138" t="s">
        <v>166</v>
      </c>
      <c r="B31" s="139">
        <f>B30*12*50%</f>
        <v>4325698.5714285718</v>
      </c>
      <c r="G31" s="45"/>
    </row>
    <row r="32" spans="1:7" ht="13.8" thickBot="1" x14ac:dyDescent="0.3">
      <c r="A32" s="138" t="s">
        <v>168</v>
      </c>
      <c r="B32" s="140">
        <f>B31*(1+ESCALATION_FACTORS!B8)</f>
        <v>4412212.5428571431</v>
      </c>
      <c r="G32" s="111"/>
    </row>
  </sheetData>
  <phoneticPr fontId="4" type="noConversion"/>
  <hyperlinks>
    <hyperlink ref="G4" r:id="rId1" xr:uid="{00000000-0004-0000-0900-000000000000}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0"/>
  <sheetViews>
    <sheetView showGridLines="0" zoomScaleNormal="100" workbookViewId="0">
      <selection activeCell="J5" sqref="J5"/>
    </sheetView>
  </sheetViews>
  <sheetFormatPr defaultColWidth="9.109375" defaultRowHeight="13.2" x14ac:dyDescent="0.25"/>
  <cols>
    <col min="1" max="1" width="37.5546875" style="9" customWidth="1"/>
    <col min="2" max="5" width="10.109375" style="9" customWidth="1"/>
    <col min="6" max="16384" width="9.109375" style="9"/>
  </cols>
  <sheetData>
    <row r="1" spans="1:10" ht="18" thickBot="1" x14ac:dyDescent="0.35">
      <c r="A1" s="163" t="s">
        <v>65</v>
      </c>
      <c r="B1" s="165"/>
      <c r="C1" s="165"/>
      <c r="D1" s="165"/>
      <c r="E1" s="164"/>
    </row>
    <row r="2" spans="1:10" x14ac:dyDescent="0.25">
      <c r="A2"/>
      <c r="B2"/>
      <c r="C2"/>
      <c r="D2"/>
      <c r="E2"/>
      <c r="F2"/>
    </row>
    <row r="3" spans="1:10" ht="13.8" thickBot="1" x14ac:dyDescent="0.3">
      <c r="A3"/>
      <c r="B3" s="166" t="s">
        <v>129</v>
      </c>
      <c r="C3" s="166"/>
      <c r="D3" s="166"/>
      <c r="E3" s="166"/>
      <c r="F3"/>
    </row>
    <row r="4" spans="1:10" ht="13.8" thickBot="1" x14ac:dyDescent="0.3">
      <c r="A4"/>
      <c r="B4" s="154">
        <v>43646</v>
      </c>
      <c r="C4" s="155">
        <v>44012</v>
      </c>
      <c r="D4" s="154">
        <v>44377</v>
      </c>
      <c r="E4" s="155">
        <v>44742</v>
      </c>
      <c r="F4"/>
      <c r="G4" s="19"/>
      <c r="H4" s="19"/>
      <c r="I4" s="19"/>
      <c r="J4" s="19"/>
    </row>
    <row r="5" spans="1:10" ht="18" customHeight="1" x14ac:dyDescent="0.25">
      <c r="A5" s="162" t="s">
        <v>82</v>
      </c>
      <c r="B5" s="156">
        <v>5.2999999999999999E-2</v>
      </c>
      <c r="C5" s="157">
        <v>-1.0999999999999999E-2</v>
      </c>
      <c r="D5" s="157">
        <v>1E-3</v>
      </c>
      <c r="E5" s="158">
        <v>6.0000000000000001E-3</v>
      </c>
      <c r="F5"/>
      <c r="G5" s="19"/>
      <c r="H5" s="19"/>
      <c r="I5" s="19"/>
      <c r="J5" s="19"/>
    </row>
    <row r="6" spans="1:10" ht="18" customHeight="1" x14ac:dyDescent="0.25">
      <c r="A6" s="162" t="s">
        <v>104</v>
      </c>
      <c r="B6" s="125">
        <v>1.9E-2</v>
      </c>
      <c r="C6" s="126">
        <v>2.4E-2</v>
      </c>
      <c r="D6" s="126">
        <v>2.1000000000000001E-2</v>
      </c>
      <c r="E6" s="127">
        <v>2.4E-2</v>
      </c>
      <c r="F6"/>
      <c r="G6" s="19"/>
      <c r="H6" s="19"/>
      <c r="I6" s="19"/>
      <c r="J6" s="19"/>
    </row>
    <row r="7" spans="1:10" ht="18" customHeight="1" x14ac:dyDescent="0.25">
      <c r="A7" s="162" t="s">
        <v>127</v>
      </c>
      <c r="B7" s="125">
        <v>2.3E-2</v>
      </c>
      <c r="C7" s="126">
        <v>3.3000000000000002E-2</v>
      </c>
      <c r="D7" s="126">
        <v>2.4E-2</v>
      </c>
      <c r="E7" s="127">
        <v>2.3E-2</v>
      </c>
      <c r="F7"/>
      <c r="G7" s="19"/>
      <c r="H7" s="19"/>
      <c r="I7" s="19"/>
      <c r="J7" s="19"/>
    </row>
    <row r="8" spans="1:10" ht="18" customHeight="1" x14ac:dyDescent="0.25">
      <c r="A8" s="161" t="s">
        <v>66</v>
      </c>
      <c r="B8" s="125">
        <v>0.02</v>
      </c>
      <c r="C8" s="126">
        <v>2.2499999999999999E-2</v>
      </c>
      <c r="D8" s="126">
        <v>2.375E-2</v>
      </c>
      <c r="E8" s="127">
        <v>2.5000000000000001E-2</v>
      </c>
      <c r="F8"/>
      <c r="G8" s="19"/>
      <c r="H8" s="19"/>
      <c r="I8" s="19"/>
      <c r="J8" s="19"/>
    </row>
    <row r="9" spans="1:10" ht="18" customHeight="1" thickBot="1" x14ac:dyDescent="0.3">
      <c r="A9" s="161" t="s">
        <v>128</v>
      </c>
      <c r="B9" s="128">
        <v>1.17E-2</v>
      </c>
      <c r="C9" s="159">
        <v>1.17E-2</v>
      </c>
      <c r="D9" s="159">
        <v>1.17E-2</v>
      </c>
      <c r="E9" s="160">
        <v>1.17E-2</v>
      </c>
      <c r="F9"/>
      <c r="G9" s="19"/>
      <c r="H9" s="19"/>
      <c r="I9" s="19"/>
      <c r="J9" s="19"/>
    </row>
    <row r="10" spans="1:10" x14ac:dyDescent="0.25">
      <c r="A10"/>
      <c r="B10"/>
      <c r="C10"/>
      <c r="D10"/>
      <c r="E10"/>
      <c r="F10"/>
    </row>
  </sheetData>
  <sheetProtection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zoomScale="85" zoomScaleNormal="100" workbookViewId="0">
      <selection activeCell="A45" sqref="A45"/>
    </sheetView>
  </sheetViews>
  <sheetFormatPr defaultColWidth="82.44140625" defaultRowHeight="13.2" x14ac:dyDescent="0.25"/>
  <cols>
    <col min="1" max="1" width="136" style="75" customWidth="1"/>
    <col min="2" max="2" width="24.6640625" style="14" customWidth="1"/>
    <col min="3" max="3" width="21.3320312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161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162</v>
      </c>
      <c r="B3" s="35">
        <f>B10+B13/B16</f>
        <v>153234.12883012398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163</v>
      </c>
      <c r="B7" s="67"/>
      <c r="C7" s="66"/>
      <c r="D7" s="23"/>
      <c r="E7" s="23"/>
      <c r="F7" s="23"/>
    </row>
    <row r="8" spans="1:6" x14ac:dyDescent="0.25">
      <c r="A8" s="147" t="s">
        <v>164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83</v>
      </c>
      <c r="B10" s="35">
        <f>'ANNUALISED_FIXED_O&amp;M'!C149</f>
        <v>29771.220635753314</v>
      </c>
      <c r="C10" s="66" t="s">
        <v>24</v>
      </c>
      <c r="D10" s="23"/>
      <c r="E10" s="23"/>
      <c r="F10" s="23"/>
    </row>
    <row r="11" spans="1:6" ht="26.4" x14ac:dyDescent="0.25">
      <c r="A11" s="68" t="s">
        <v>84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85</v>
      </c>
      <c r="B13" s="35">
        <f>ANNUALISED_CAP_COST!B28</f>
        <v>18692284.300627723</v>
      </c>
      <c r="C13" s="66" t="s">
        <v>23</v>
      </c>
      <c r="D13" s="23"/>
      <c r="E13" s="23"/>
      <c r="F13" s="23"/>
    </row>
    <row r="14" spans="1:6" ht="26.4" x14ac:dyDescent="0.25">
      <c r="A14" s="68" t="s">
        <v>86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87</v>
      </c>
      <c r="B16" s="104">
        <f>PC!C4</f>
        <v>151.4</v>
      </c>
      <c r="C16" s="66" t="s">
        <v>18</v>
      </c>
      <c r="D16" s="71"/>
      <c r="E16" s="70"/>
      <c r="F16" s="23"/>
    </row>
    <row r="17" spans="1:6" x14ac:dyDescent="0.25">
      <c r="A17" s="68" t="s">
        <v>111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+DWaDam1mVSOAS9X6ajTRqb9gGk4zLEobALtp//w0Ut1fSFLEPr/7KjBD5p9C7NZx80McK8cC1NM5bOGhlOvIg==" saltValue="2PQo5GRMCmPHA+2UgIyCyg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37"/>
  <sheetViews>
    <sheetView showGridLines="0" zoomScaleNormal="80" workbookViewId="0">
      <selection activeCell="A34" sqref="A34"/>
    </sheetView>
  </sheetViews>
  <sheetFormatPr defaultColWidth="9.109375" defaultRowHeight="13.2" x14ac:dyDescent="0.25"/>
  <cols>
    <col min="1" max="1" width="102.6640625" style="19" customWidth="1"/>
    <col min="2" max="2" width="14.88671875" style="24" bestFit="1" customWidth="1"/>
    <col min="3" max="3" width="19.109375" style="48" customWidth="1"/>
    <col min="4" max="16384" width="9.109375" style="19"/>
  </cols>
  <sheetData>
    <row r="1" spans="1:3" s="8" customFormat="1" ht="18" thickBot="1" x14ac:dyDescent="0.35">
      <c r="A1" s="6" t="s">
        <v>85</v>
      </c>
      <c r="B1" s="46"/>
      <c r="C1" s="47"/>
    </row>
    <row r="2" spans="1:3" x14ac:dyDescent="0.25">
      <c r="A2" s="26"/>
    </row>
    <row r="3" spans="1:3" x14ac:dyDescent="0.25">
      <c r="A3" s="24" t="s">
        <v>88</v>
      </c>
      <c r="B3" s="42">
        <f>PC!C16</f>
        <v>843378.52961546904</v>
      </c>
      <c r="C3" s="48" t="s">
        <v>21</v>
      </c>
    </row>
    <row r="4" spans="1:3" ht="26.4" x14ac:dyDescent="0.25">
      <c r="A4" s="49" t="s">
        <v>118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0.17154417628233121</v>
      </c>
      <c r="C6" s="48" t="s">
        <v>17</v>
      </c>
    </row>
    <row r="7" spans="1:3" x14ac:dyDescent="0.25">
      <c r="A7" s="49" t="s">
        <v>117</v>
      </c>
    </row>
    <row r="8" spans="1:3" x14ac:dyDescent="0.25">
      <c r="A8" s="49"/>
    </row>
    <row r="9" spans="1:3" x14ac:dyDescent="0.25">
      <c r="A9" s="24" t="s">
        <v>87</v>
      </c>
      <c r="B9" s="105">
        <f>PC!C4</f>
        <v>151.4</v>
      </c>
      <c r="C9" s="48" t="s">
        <v>18</v>
      </c>
    </row>
    <row r="10" spans="1:3" x14ac:dyDescent="0.25">
      <c r="A10" s="49" t="s">
        <v>119</v>
      </c>
    </row>
    <row r="11" spans="1:3" x14ac:dyDescent="0.25">
      <c r="A11" s="26"/>
    </row>
    <row r="12" spans="1:3" x14ac:dyDescent="0.25">
      <c r="A12" s="24" t="s">
        <v>89</v>
      </c>
      <c r="B12" s="42">
        <f>TC!B11</f>
        <v>179028</v>
      </c>
      <c r="C12" s="48" t="s">
        <v>22</v>
      </c>
    </row>
    <row r="13" spans="1:3" x14ac:dyDescent="0.25">
      <c r="A13" s="49" t="s">
        <v>120</v>
      </c>
    </row>
    <row r="14" spans="1:3" x14ac:dyDescent="0.25">
      <c r="A14" s="26"/>
    </row>
    <row r="15" spans="1:3" x14ac:dyDescent="0.25">
      <c r="A15" s="24" t="s">
        <v>90</v>
      </c>
      <c r="B15" s="42">
        <f>FFC!C18</f>
        <v>7109637.8488042597</v>
      </c>
      <c r="C15" s="48" t="s">
        <v>22</v>
      </c>
    </row>
    <row r="16" spans="1:3" x14ac:dyDescent="0.25">
      <c r="A16" s="49" t="s">
        <v>121</v>
      </c>
    </row>
    <row r="17" spans="1:3" x14ac:dyDescent="0.25">
      <c r="A17" s="26"/>
    </row>
    <row r="18" spans="1:3" x14ac:dyDescent="0.25">
      <c r="A18" s="24" t="s">
        <v>91</v>
      </c>
      <c r="B18" s="42">
        <f>LC!E22</f>
        <v>2295990.5310411188</v>
      </c>
      <c r="C18" s="48" t="s">
        <v>22</v>
      </c>
    </row>
    <row r="19" spans="1:3" x14ac:dyDescent="0.25">
      <c r="A19" s="26" t="s">
        <v>122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5.2395890419587809E-2</v>
      </c>
      <c r="C21" s="48" t="s">
        <v>17</v>
      </c>
    </row>
    <row r="22" spans="1:3" x14ac:dyDescent="0.25">
      <c r="A22" s="26" t="s">
        <v>123</v>
      </c>
    </row>
    <row r="23" spans="1:3" x14ac:dyDescent="0.25">
      <c r="A23" s="26"/>
    </row>
    <row r="24" spans="1:3" x14ac:dyDescent="0.25">
      <c r="A24" s="24" t="s">
        <v>92</v>
      </c>
      <c r="B24" s="42">
        <f>(B3*(1+B6)*B9+B12*B9+B15+B18)*(1+B21)^0.5</f>
        <v>190915272.58061996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5.2395890419587809E-2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85</v>
      </c>
      <c r="B28" s="55">
        <f>-PMT(B26,B27,B24)</f>
        <v>18692284.300627723</v>
      </c>
      <c r="C28" s="48" t="s">
        <v>23</v>
      </c>
    </row>
    <row r="29" spans="1:3" x14ac:dyDescent="0.25">
      <c r="A29" s="26"/>
    </row>
    <row r="30" spans="1:3" x14ac:dyDescent="0.25">
      <c r="A30" s="56" t="s">
        <v>93</v>
      </c>
    </row>
    <row r="31" spans="1:3" x14ac:dyDescent="0.25">
      <c r="A31" s="56" t="s">
        <v>116</v>
      </c>
    </row>
    <row r="37" spans="1:1" x14ac:dyDescent="0.25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tabSelected="1" topLeftCell="A121" zoomScale="85" zoomScaleNormal="85" workbookViewId="0">
      <selection activeCell="E34" sqref="E34"/>
    </sheetView>
  </sheetViews>
  <sheetFormatPr defaultColWidth="9.109375" defaultRowHeight="13.2" x14ac:dyDescent="0.25"/>
  <cols>
    <col min="1" max="1" width="74.5546875" style="9" bestFit="1" customWidth="1"/>
    <col min="2" max="2" width="26.33203125" style="9" customWidth="1"/>
    <col min="3" max="3" width="20.109375" style="9" customWidth="1"/>
    <col min="4" max="4" width="20" style="9" customWidth="1"/>
    <col min="5" max="5" width="16.33203125" style="9" bestFit="1" customWidth="1"/>
    <col min="6" max="9" width="15.88671875" style="9" bestFit="1" customWidth="1"/>
    <col min="10" max="10" width="16.33203125" style="9" bestFit="1" customWidth="1"/>
    <col min="11" max="11" width="15.88671875" style="9" bestFit="1" customWidth="1"/>
    <col min="12" max="12" width="16.33203125" style="9" bestFit="1" customWidth="1"/>
    <col min="13" max="15" width="15.88671875" style="9" bestFit="1" customWidth="1"/>
    <col min="16" max="16" width="15.44140625" style="9" bestFit="1" customWidth="1"/>
    <col min="17" max="17" width="15.88671875" style="9" bestFit="1" customWidth="1"/>
    <col min="18" max="18" width="13" style="9" bestFit="1" customWidth="1"/>
    <col min="19" max="19" width="15.88671875" style="9" bestFit="1" customWidth="1"/>
    <col min="20" max="16384" width="9.109375" style="9"/>
  </cols>
  <sheetData>
    <row r="1" spans="1:5" s="8" customFormat="1" ht="18" thickBot="1" x14ac:dyDescent="0.35">
      <c r="A1" s="6" t="s">
        <v>83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74</v>
      </c>
      <c r="B5" s="95"/>
      <c r="C5" s="37"/>
    </row>
    <row r="6" spans="1:5" ht="13.8" thickBot="1" x14ac:dyDescent="0.3">
      <c r="A6" s="11" t="s">
        <v>36</v>
      </c>
      <c r="B6" s="96"/>
      <c r="C6" s="2">
        <v>10075450</v>
      </c>
      <c r="E6" s="19"/>
    </row>
    <row r="7" spans="1:5" ht="13.8" thickBot="1" x14ac:dyDescent="0.3">
      <c r="A7" s="12" t="s">
        <v>34</v>
      </c>
      <c r="B7" s="97"/>
      <c r="C7" s="2">
        <v>10075450</v>
      </c>
      <c r="E7" s="19"/>
    </row>
    <row r="8" spans="1:5" ht="13.8" thickBot="1" x14ac:dyDescent="0.3">
      <c r="A8" s="12" t="s">
        <v>35</v>
      </c>
      <c r="B8" s="97"/>
      <c r="C8" s="2">
        <v>10075450</v>
      </c>
      <c r="E8" s="19"/>
    </row>
    <row r="9" spans="1:5" ht="13.8" thickBot="1" x14ac:dyDescent="0.3">
      <c r="A9" s="28" t="s">
        <v>99</v>
      </c>
      <c r="B9" s="63"/>
      <c r="C9" s="2">
        <v>10075450</v>
      </c>
      <c r="E9" s="19"/>
    </row>
    <row r="10" spans="1:5" ht="13.8" thickBot="1" x14ac:dyDescent="0.3">
      <c r="A10" s="12" t="s">
        <v>37</v>
      </c>
      <c r="B10" s="97"/>
      <c r="C10" s="2">
        <v>10075450</v>
      </c>
      <c r="E10" s="19"/>
    </row>
    <row r="11" spans="1:5" ht="13.8" thickBot="1" x14ac:dyDescent="0.3">
      <c r="A11" s="25" t="s">
        <v>38</v>
      </c>
      <c r="B11" s="97"/>
      <c r="C11" s="2">
        <v>10075450</v>
      </c>
      <c r="E11" s="19"/>
    </row>
    <row r="12" spans="1:5" ht="13.8" thickBot="1" x14ac:dyDescent="0.3">
      <c r="A12" s="12" t="s">
        <v>39</v>
      </c>
      <c r="B12" s="97"/>
      <c r="C12" s="2">
        <v>10075450</v>
      </c>
      <c r="E12" s="19"/>
    </row>
    <row r="13" spans="1:5" ht="13.8" thickBot="1" x14ac:dyDescent="0.3">
      <c r="A13" s="12" t="s">
        <v>40</v>
      </c>
      <c r="B13" s="97"/>
      <c r="C13" s="2">
        <v>10075450</v>
      </c>
      <c r="E13" s="19"/>
    </row>
    <row r="14" spans="1:5" ht="13.8" thickBot="1" x14ac:dyDescent="0.3">
      <c r="A14" s="12" t="s">
        <v>41</v>
      </c>
      <c r="B14" s="97"/>
      <c r="C14" s="2">
        <v>10075450</v>
      </c>
      <c r="E14" s="19"/>
    </row>
    <row r="15" spans="1:5" ht="13.8" thickBot="1" x14ac:dyDescent="0.3">
      <c r="A15" s="13" t="s">
        <v>42</v>
      </c>
      <c r="B15" s="98"/>
      <c r="C15" s="2">
        <v>10075450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10075450</v>
      </c>
      <c r="D19" s="39">
        <f>C19</f>
        <v>10075450</v>
      </c>
      <c r="E19" s="39">
        <f>D19</f>
        <v>10075450</v>
      </c>
      <c r="F19" s="39">
        <f>E19</f>
        <v>10075450</v>
      </c>
      <c r="G19" s="39">
        <f>F19</f>
        <v>10075450</v>
      </c>
      <c r="H19" s="40">
        <f>C7</f>
        <v>10075450</v>
      </c>
      <c r="I19" s="39">
        <f>H19</f>
        <v>10075450</v>
      </c>
      <c r="J19" s="39">
        <f t="shared" si="1"/>
        <v>10075450</v>
      </c>
      <c r="K19" s="39">
        <f t="shared" si="1"/>
        <v>10075450</v>
      </c>
      <c r="L19" s="39">
        <f t="shared" si="1"/>
        <v>10075450</v>
      </c>
      <c r="M19" s="40">
        <f>C8</f>
        <v>10075450</v>
      </c>
      <c r="N19" s="39">
        <f>M19</f>
        <v>10075450</v>
      </c>
      <c r="O19" s="39">
        <f t="shared" si="1"/>
        <v>10075450</v>
      </c>
      <c r="P19" s="39">
        <f t="shared" si="1"/>
        <v>10075450</v>
      </c>
      <c r="Q19" s="39">
        <f t="shared" si="1"/>
        <v>10075450</v>
      </c>
    </row>
    <row r="20" spans="1:17" x14ac:dyDescent="0.25">
      <c r="A20" s="14" t="s">
        <v>45</v>
      </c>
      <c r="B20" s="14"/>
      <c r="C20" s="39">
        <f>C19/C18</f>
        <v>2015090</v>
      </c>
      <c r="D20" s="39">
        <f t="shared" ref="D20:Q20" si="2">D19/D18</f>
        <v>2015090</v>
      </c>
      <c r="E20" s="39">
        <f t="shared" si="2"/>
        <v>2015090</v>
      </c>
      <c r="F20" s="39">
        <f t="shared" si="2"/>
        <v>2015090</v>
      </c>
      <c r="G20" s="39">
        <f t="shared" si="2"/>
        <v>2015090</v>
      </c>
      <c r="H20" s="39">
        <f t="shared" si="2"/>
        <v>2015090</v>
      </c>
      <c r="I20" s="39">
        <f t="shared" si="2"/>
        <v>2015090</v>
      </c>
      <c r="J20" s="39">
        <f t="shared" si="2"/>
        <v>2015090</v>
      </c>
      <c r="K20" s="39">
        <f t="shared" si="2"/>
        <v>2015090</v>
      </c>
      <c r="L20" s="39">
        <f t="shared" si="2"/>
        <v>2015090</v>
      </c>
      <c r="M20" s="39">
        <f t="shared" si="2"/>
        <v>2015090</v>
      </c>
      <c r="N20" s="39">
        <f t="shared" si="2"/>
        <v>2015090</v>
      </c>
      <c r="O20" s="39">
        <f t="shared" si="2"/>
        <v>2015090</v>
      </c>
      <c r="P20" s="39">
        <f t="shared" si="2"/>
        <v>2015090</v>
      </c>
      <c r="Q20" s="39">
        <f t="shared" si="2"/>
        <v>2015090</v>
      </c>
    </row>
    <row r="21" spans="1:17" x14ac:dyDescent="0.25">
      <c r="A21" s="14" t="s">
        <v>14</v>
      </c>
      <c r="B21" s="14"/>
      <c r="C21" s="41">
        <f>WACC!B21</f>
        <v>5.2395890419587809E-2</v>
      </c>
      <c r="D21" s="41">
        <f>C21</f>
        <v>5.2395890419587809E-2</v>
      </c>
      <c r="E21" s="41">
        <f t="shared" ref="E21:Q21" si="3">D21</f>
        <v>5.2395890419587809E-2</v>
      </c>
      <c r="F21" s="41">
        <f t="shared" si="3"/>
        <v>5.2395890419587809E-2</v>
      </c>
      <c r="G21" s="41">
        <f t="shared" si="3"/>
        <v>5.2395890419587809E-2</v>
      </c>
      <c r="H21" s="41">
        <f t="shared" si="3"/>
        <v>5.2395890419587809E-2</v>
      </c>
      <c r="I21" s="41">
        <f t="shared" si="3"/>
        <v>5.2395890419587809E-2</v>
      </c>
      <c r="J21" s="41">
        <f t="shared" si="3"/>
        <v>5.2395890419587809E-2</v>
      </c>
      <c r="K21" s="41">
        <f t="shared" si="3"/>
        <v>5.2395890419587809E-2</v>
      </c>
      <c r="L21" s="41">
        <f t="shared" si="3"/>
        <v>5.2395890419587809E-2</v>
      </c>
      <c r="M21" s="41">
        <f t="shared" si="3"/>
        <v>5.2395890419587809E-2</v>
      </c>
      <c r="N21" s="41">
        <f t="shared" si="3"/>
        <v>5.2395890419587809E-2</v>
      </c>
      <c r="O21" s="41">
        <f t="shared" si="3"/>
        <v>5.2395890419587809E-2</v>
      </c>
      <c r="P21" s="41">
        <f t="shared" si="3"/>
        <v>5.2395890419587809E-2</v>
      </c>
      <c r="Q21" s="41">
        <f t="shared" si="3"/>
        <v>5.2395890419587809E-2</v>
      </c>
    </row>
    <row r="22" spans="1:17" x14ac:dyDescent="0.25">
      <c r="A22" s="14" t="s">
        <v>46</v>
      </c>
      <c r="B22" s="14"/>
      <c r="C22" s="38">
        <f>C20/(1+C21)^C17</f>
        <v>1914764.2235628536</v>
      </c>
      <c r="D22" s="38">
        <f>D20/(1+D21)^D17</f>
        <v>1819433.3909831608</v>
      </c>
      <c r="E22" s="38">
        <f>E20/(1+E21)^E17</f>
        <v>1728848.8177749885</v>
      </c>
      <c r="F22" s="38">
        <f>F20/(1+F21)^F17</f>
        <v>1642774.2007674514</v>
      </c>
      <c r="G22" s="38">
        <f t="shared" ref="G22:Q22" si="4">G20/(1+G21)^G17</f>
        <v>1560985.0016731643</v>
      </c>
      <c r="H22" s="38">
        <f t="shared" si="4"/>
        <v>1483267.861347124</v>
      </c>
      <c r="I22" s="38">
        <f t="shared" si="4"/>
        <v>1409420.0432080256</v>
      </c>
      <c r="J22" s="38">
        <f t="shared" si="4"/>
        <v>1339248.9043700972</v>
      </c>
      <c r="K22" s="38">
        <f t="shared" si="4"/>
        <v>1272571.3931058221</v>
      </c>
      <c r="L22" s="38">
        <f t="shared" si="4"/>
        <v>1209213.5713286099</v>
      </c>
      <c r="M22" s="38">
        <f t="shared" si="4"/>
        <v>1149010.1608497342</v>
      </c>
      <c r="N22" s="38">
        <f t="shared" si="4"/>
        <v>1091804.1122258913</v>
      </c>
      <c r="O22" s="38">
        <f t="shared" si="4"/>
        <v>1037446.1950726466</v>
      </c>
      <c r="P22" s="38">
        <f t="shared" si="4"/>
        <v>985794.60877504863</v>
      </c>
      <c r="Q22" s="38">
        <f t="shared" si="4"/>
        <v>936714.61257988622</v>
      </c>
    </row>
    <row r="23" spans="1:17" x14ac:dyDescent="0.25">
      <c r="A23" s="14" t="s">
        <v>47</v>
      </c>
      <c r="B23" s="14"/>
      <c r="C23" s="42">
        <f>SUM(C22:Q22)</f>
        <v>20581297.097624503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2015089.9999999998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104</v>
      </c>
      <c r="E25" s="19"/>
    </row>
    <row r="26" spans="1:17" s="19" customFormat="1" ht="13.8" thickBot="1" x14ac:dyDescent="0.3">
      <c r="A26" s="20" t="s">
        <v>112</v>
      </c>
      <c r="B26" s="20"/>
      <c r="C26" s="31">
        <v>43281</v>
      </c>
      <c r="D26" s="9"/>
    </row>
    <row r="27" spans="1:17" s="19" customFormat="1" ht="13.8" thickBot="1" x14ac:dyDescent="0.3">
      <c r="A27" s="20" t="s">
        <v>113</v>
      </c>
      <c r="B27" s="20"/>
      <c r="C27" s="32">
        <v>44470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131</v>
      </c>
      <c r="B29" s="92">
        <f>ESCALATION_FACTORS!$B$4</f>
        <v>43646</v>
      </c>
      <c r="C29" s="101">
        <f>VLOOKUP($C$25,ESCALATION_FACTORS!$A$5:$E$9,2,)</f>
        <v>1.9E-2</v>
      </c>
    </row>
    <row r="30" spans="1:17" ht="13.8" thickBot="1" x14ac:dyDescent="0.3">
      <c r="A30" s="20"/>
      <c r="B30" s="92">
        <f>ESCALATION_FACTORS!$C$4</f>
        <v>44012</v>
      </c>
      <c r="C30" s="101">
        <f>VLOOKUP($C$25,ESCALATION_FACTORS!$A$5:$E$9,3,)</f>
        <v>2.4E-2</v>
      </c>
    </row>
    <row r="31" spans="1:17" ht="13.8" thickBot="1" x14ac:dyDescent="0.3">
      <c r="A31" s="20"/>
      <c r="B31" s="92">
        <f>ESCALATION_FACTORS!$D$4</f>
        <v>44377</v>
      </c>
      <c r="C31" s="101">
        <f>VLOOKUP($C$25,ESCALATION_FACTORS!$A$5:$E$9,4,)</f>
        <v>2.1000000000000001E-2</v>
      </c>
    </row>
    <row r="32" spans="1:17" ht="13.8" thickBot="1" x14ac:dyDescent="0.3">
      <c r="B32" s="92">
        <f>ESCALATION_FACTORS!$E$4</f>
        <v>44742</v>
      </c>
      <c r="C32" s="101">
        <f>VLOOKUP($C$25,ESCALATION_FACTORS!$A$5:$E$9,5,)</f>
        <v>2.4E-2</v>
      </c>
    </row>
    <row r="33" spans="1:5" s="19" customFormat="1" ht="13.8" thickBot="1" x14ac:dyDescent="0.3">
      <c r="A33" s="20"/>
      <c r="B33" s="20"/>
      <c r="C33" s="20"/>
      <c r="D33" s="20"/>
      <c r="E33" s="20"/>
    </row>
    <row r="34" spans="1:5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14265.691495457801</v>
      </c>
      <c r="D34" s="9" t="s">
        <v>53</v>
      </c>
    </row>
    <row r="35" spans="1:5" x14ac:dyDescent="0.25">
      <c r="C35" s="17"/>
    </row>
    <row r="36" spans="1:5" ht="13.8" thickBot="1" x14ac:dyDescent="0.3"/>
    <row r="37" spans="1:5" ht="18" thickBot="1" x14ac:dyDescent="0.35">
      <c r="A37" s="9" t="s">
        <v>33</v>
      </c>
      <c r="B37" s="46"/>
      <c r="C37" s="10"/>
    </row>
    <row r="38" spans="1:5" ht="13.8" thickBot="1" x14ac:dyDescent="0.3"/>
    <row r="39" spans="1:5" ht="13.8" thickBot="1" x14ac:dyDescent="0.3">
      <c r="A39" s="36" t="s">
        <v>73</v>
      </c>
      <c r="B39" s="95"/>
      <c r="C39" s="37"/>
    </row>
    <row r="40" spans="1:5" ht="13.8" thickBot="1" x14ac:dyDescent="0.3">
      <c r="A40" s="12" t="s">
        <v>36</v>
      </c>
      <c r="B40" s="96"/>
      <c r="C40" s="122">
        <v>382000</v>
      </c>
      <c r="E40" s="19"/>
    </row>
    <row r="41" spans="1:5" ht="13.8" thickBot="1" x14ac:dyDescent="0.3">
      <c r="A41" s="12" t="s">
        <v>34</v>
      </c>
      <c r="B41" s="97"/>
      <c r="C41" s="122">
        <v>382000</v>
      </c>
      <c r="E41" s="19"/>
    </row>
    <row r="42" spans="1:5" ht="13.8" thickBot="1" x14ac:dyDescent="0.3">
      <c r="A42" s="12" t="s">
        <v>35</v>
      </c>
      <c r="B42" s="97"/>
      <c r="C42" s="122">
        <v>382000</v>
      </c>
      <c r="E42" s="19"/>
    </row>
    <row r="43" spans="1:5" ht="13.8" thickBot="1" x14ac:dyDescent="0.3">
      <c r="A43" s="12" t="s">
        <v>99</v>
      </c>
      <c r="B43" s="97"/>
      <c r="C43" s="122">
        <v>382000</v>
      </c>
      <c r="E43" s="19"/>
    </row>
    <row r="44" spans="1:5" ht="13.8" thickBot="1" x14ac:dyDescent="0.3">
      <c r="A44" s="12" t="s">
        <v>37</v>
      </c>
      <c r="B44" s="97"/>
      <c r="C44" s="122">
        <v>382000</v>
      </c>
      <c r="E44" s="19"/>
    </row>
    <row r="45" spans="1:5" ht="13.8" thickBot="1" x14ac:dyDescent="0.3">
      <c r="A45" s="12" t="s">
        <v>38</v>
      </c>
      <c r="B45" s="97"/>
      <c r="C45" s="122">
        <v>382000</v>
      </c>
      <c r="E45" s="19"/>
    </row>
    <row r="46" spans="1:5" ht="13.8" thickBot="1" x14ac:dyDescent="0.3">
      <c r="A46" s="12" t="s">
        <v>39</v>
      </c>
      <c r="B46" s="97"/>
      <c r="C46" s="122">
        <v>382000</v>
      </c>
      <c r="E46" s="19"/>
    </row>
    <row r="47" spans="1:5" ht="13.8" thickBot="1" x14ac:dyDescent="0.3">
      <c r="A47" s="12" t="s">
        <v>40</v>
      </c>
      <c r="B47" s="97"/>
      <c r="C47" s="122">
        <v>382000</v>
      </c>
      <c r="E47" s="19"/>
    </row>
    <row r="48" spans="1:5" ht="13.8" thickBot="1" x14ac:dyDescent="0.3">
      <c r="A48" s="12" t="s">
        <v>41</v>
      </c>
      <c r="B48" s="97"/>
      <c r="C48" s="122">
        <v>382000</v>
      </c>
      <c r="E48" s="19"/>
    </row>
    <row r="49" spans="1:17" ht="13.8" thickBot="1" x14ac:dyDescent="0.3">
      <c r="A49" s="13" t="s">
        <v>42</v>
      </c>
      <c r="B49" s="98"/>
      <c r="C49" s="122">
        <v>382000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382000</v>
      </c>
      <c r="D53" s="39">
        <f>C53</f>
        <v>382000</v>
      </c>
      <c r="E53" s="39">
        <f>D53</f>
        <v>382000</v>
      </c>
      <c r="F53" s="39">
        <f>E53</f>
        <v>382000</v>
      </c>
      <c r="G53" s="39">
        <f>F53</f>
        <v>382000</v>
      </c>
      <c r="H53" s="40">
        <f>C41</f>
        <v>382000</v>
      </c>
      <c r="I53" s="39">
        <f>H53</f>
        <v>382000</v>
      </c>
      <c r="J53" s="39">
        <f t="shared" si="6"/>
        <v>382000</v>
      </c>
      <c r="K53" s="39">
        <f t="shared" si="6"/>
        <v>382000</v>
      </c>
      <c r="L53" s="39">
        <f t="shared" si="6"/>
        <v>382000</v>
      </c>
      <c r="M53" s="40">
        <f>C42</f>
        <v>382000</v>
      </c>
      <c r="N53" s="39">
        <f>M53</f>
        <v>382000</v>
      </c>
      <c r="O53" s="39">
        <f t="shared" si="6"/>
        <v>382000</v>
      </c>
      <c r="P53" s="39">
        <f t="shared" si="6"/>
        <v>382000</v>
      </c>
      <c r="Q53" s="39">
        <f t="shared" si="6"/>
        <v>382000</v>
      </c>
    </row>
    <row r="54" spans="1:17" x14ac:dyDescent="0.25">
      <c r="A54" s="14" t="s">
        <v>45</v>
      </c>
      <c r="B54" s="14"/>
      <c r="C54" s="39">
        <f>C53/C52</f>
        <v>76400</v>
      </c>
      <c r="D54" s="39">
        <f>D53/D52</f>
        <v>76400</v>
      </c>
      <c r="E54" s="39">
        <f t="shared" ref="E54:Q54" si="7">E53/E52</f>
        <v>76400</v>
      </c>
      <c r="F54" s="39">
        <f t="shared" si="7"/>
        <v>76400</v>
      </c>
      <c r="G54" s="39">
        <f t="shared" si="7"/>
        <v>76400</v>
      </c>
      <c r="H54" s="39">
        <f t="shared" si="7"/>
        <v>76400</v>
      </c>
      <c r="I54" s="39">
        <f t="shared" si="7"/>
        <v>76400</v>
      </c>
      <c r="J54" s="39">
        <f t="shared" si="7"/>
        <v>76400</v>
      </c>
      <c r="K54" s="39">
        <f t="shared" si="7"/>
        <v>76400</v>
      </c>
      <c r="L54" s="39">
        <f t="shared" si="7"/>
        <v>76400</v>
      </c>
      <c r="M54" s="39">
        <f t="shared" si="7"/>
        <v>76400</v>
      </c>
      <c r="N54" s="39">
        <f t="shared" si="7"/>
        <v>76400</v>
      </c>
      <c r="O54" s="39">
        <f t="shared" si="7"/>
        <v>76400</v>
      </c>
      <c r="P54" s="39">
        <f t="shared" si="7"/>
        <v>76400</v>
      </c>
      <c r="Q54" s="39">
        <f t="shared" si="7"/>
        <v>76400</v>
      </c>
    </row>
    <row r="55" spans="1:17" x14ac:dyDescent="0.25">
      <c r="A55" s="9" t="s">
        <v>14</v>
      </c>
      <c r="B55" s="14"/>
      <c r="C55" s="41">
        <f>WACC!B21</f>
        <v>5.2395890419587809E-2</v>
      </c>
      <c r="D55" s="41">
        <f>C55</f>
        <v>5.2395890419587809E-2</v>
      </c>
      <c r="E55" s="41">
        <f t="shared" ref="E55:Q55" si="8">D55</f>
        <v>5.2395890419587809E-2</v>
      </c>
      <c r="F55" s="41">
        <f t="shared" si="8"/>
        <v>5.2395890419587809E-2</v>
      </c>
      <c r="G55" s="41">
        <f t="shared" si="8"/>
        <v>5.2395890419587809E-2</v>
      </c>
      <c r="H55" s="41">
        <f t="shared" si="8"/>
        <v>5.2395890419587809E-2</v>
      </c>
      <c r="I55" s="41">
        <f t="shared" si="8"/>
        <v>5.2395890419587809E-2</v>
      </c>
      <c r="J55" s="41">
        <f t="shared" si="8"/>
        <v>5.2395890419587809E-2</v>
      </c>
      <c r="K55" s="41">
        <f t="shared" si="8"/>
        <v>5.2395890419587809E-2</v>
      </c>
      <c r="L55" s="41">
        <f t="shared" si="8"/>
        <v>5.2395890419587809E-2</v>
      </c>
      <c r="M55" s="41">
        <f t="shared" si="8"/>
        <v>5.2395890419587809E-2</v>
      </c>
      <c r="N55" s="41">
        <f t="shared" si="8"/>
        <v>5.2395890419587809E-2</v>
      </c>
      <c r="O55" s="41">
        <f t="shared" si="8"/>
        <v>5.2395890419587809E-2</v>
      </c>
      <c r="P55" s="41">
        <f t="shared" si="8"/>
        <v>5.2395890419587809E-2</v>
      </c>
      <c r="Q55" s="41">
        <f t="shared" si="8"/>
        <v>5.2395890419587809E-2</v>
      </c>
    </row>
    <row r="56" spans="1:17" x14ac:dyDescent="0.25">
      <c r="A56" s="45" t="s">
        <v>46</v>
      </c>
      <c r="B56" s="14"/>
      <c r="C56" s="38">
        <f>C54/(1+C55)^C51</f>
        <v>72596.254599150416</v>
      </c>
      <c r="D56" s="38">
        <f t="shared" ref="D56:Q56" si="9">D54/(1+D55)^D51</f>
        <v>68981.887196657961</v>
      </c>
      <c r="E56" s="38">
        <f t="shared" si="9"/>
        <v>65547.469184011192</v>
      </c>
      <c r="F56" s="38">
        <f t="shared" si="9"/>
        <v>62284.041377126232</v>
      </c>
      <c r="G56" s="38">
        <f t="shared" si="9"/>
        <v>59183.090644998359</v>
      </c>
      <c r="H56" s="38">
        <f t="shared" si="9"/>
        <v>56236.527701948929</v>
      </c>
      <c r="I56" s="38">
        <f t="shared" si="9"/>
        <v>53436.666005534818</v>
      </c>
      <c r="J56" s="38">
        <f t="shared" si="9"/>
        <v>50776.201705072934</v>
      </c>
      <c r="K56" s="38">
        <f t="shared" si="9"/>
        <v>48248.194588472383</v>
      </c>
      <c r="L56" s="38">
        <f t="shared" si="9"/>
        <v>45846.04997767137</v>
      </c>
      <c r="M56" s="38">
        <f t="shared" si="9"/>
        <v>43563.501525450323</v>
      </c>
      <c r="N56" s="38">
        <f t="shared" si="9"/>
        <v>41394.594868744374</v>
      </c>
      <c r="O56" s="38">
        <f t="shared" si="9"/>
        <v>39333.672095812195</v>
      </c>
      <c r="P56" s="38">
        <f t="shared" si="9"/>
        <v>37375.356986741892</v>
      </c>
      <c r="Q56" s="38">
        <f t="shared" si="9"/>
        <v>35514.540988791225</v>
      </c>
    </row>
    <row r="57" spans="1:17" x14ac:dyDescent="0.25">
      <c r="A57" s="14" t="s">
        <v>47</v>
      </c>
      <c r="B57" s="14"/>
      <c r="C57" s="42">
        <f>SUM(C56:Q56)</f>
        <v>780318.04944618465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76400</v>
      </c>
      <c r="D58" s="45"/>
    </row>
    <row r="59" spans="1:17" ht="13.8" thickBot="1" x14ac:dyDescent="0.3">
      <c r="A59" s="14" t="s">
        <v>67</v>
      </c>
      <c r="B59" s="14"/>
      <c r="C59" s="16" t="s">
        <v>127</v>
      </c>
      <c r="E59" s="19"/>
    </row>
    <row r="60" spans="1:17" s="19" customFormat="1" ht="13.8" thickBot="1" x14ac:dyDescent="0.3">
      <c r="A60" s="20" t="s">
        <v>112</v>
      </c>
      <c r="B60" s="20"/>
      <c r="C60" s="31">
        <v>43281</v>
      </c>
      <c r="D60" s="9"/>
    </row>
    <row r="61" spans="1:17" s="19" customFormat="1" ht="13.8" thickBot="1" x14ac:dyDescent="0.3">
      <c r="A61" s="20" t="s">
        <v>113</v>
      </c>
      <c r="B61" s="20"/>
      <c r="C61" s="32">
        <v>44470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131</v>
      </c>
      <c r="B63" s="92">
        <f>ESCALATION_FACTORS!$B$4</f>
        <v>43646</v>
      </c>
      <c r="C63" s="101">
        <f>VLOOKUP($C$59,ESCALATION_FACTORS!$A$5:$E$9,2,)</f>
        <v>2.3E-2</v>
      </c>
    </row>
    <row r="64" spans="1:17" s="19" customFormat="1" ht="13.8" thickBot="1" x14ac:dyDescent="0.3">
      <c r="A64" s="20"/>
      <c r="B64" s="92">
        <f>ESCALATION_FACTORS!$C$4</f>
        <v>44012</v>
      </c>
      <c r="C64" s="101">
        <f>VLOOKUP($C$59,ESCALATION_FACTORS!$A$5:$E$9,3,)</f>
        <v>3.3000000000000002E-2</v>
      </c>
      <c r="D64" s="20"/>
      <c r="E64" s="20"/>
    </row>
    <row r="65" spans="1:5" s="19" customFormat="1" ht="13.8" thickBot="1" x14ac:dyDescent="0.3">
      <c r="A65" s="20"/>
      <c r="B65" s="92">
        <f>ESCALATION_FACTORS!$D$4</f>
        <v>44377</v>
      </c>
      <c r="C65" s="101">
        <f>VLOOKUP($C$59,ESCALATION_FACTORS!$A$5:$E$9,4,)</f>
        <v>2.4E-2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44742</v>
      </c>
      <c r="C66" s="101">
        <f>VLOOKUP($C$59,ESCALATION_FACTORS!$A$5:$E$9,5,)</f>
        <v>2.3E-2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549.23683095031913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72</v>
      </c>
      <c r="B71" s="95"/>
      <c r="C71" s="37"/>
    </row>
    <row r="72" spans="1:5" ht="13.8" thickBot="1" x14ac:dyDescent="0.3">
      <c r="A72" s="11" t="s">
        <v>36</v>
      </c>
      <c r="B72" s="96"/>
      <c r="C72" s="122">
        <v>23850</v>
      </c>
      <c r="E72" s="19"/>
    </row>
    <row r="73" spans="1:5" ht="13.8" thickBot="1" x14ac:dyDescent="0.3">
      <c r="A73" s="12" t="s">
        <v>34</v>
      </c>
      <c r="B73" s="97"/>
      <c r="C73" s="122">
        <v>23850</v>
      </c>
      <c r="E73" s="19"/>
    </row>
    <row r="74" spans="1:5" ht="13.8" thickBot="1" x14ac:dyDescent="0.3">
      <c r="A74" s="12" t="s">
        <v>35</v>
      </c>
      <c r="B74" s="97"/>
      <c r="C74" s="122">
        <v>23850</v>
      </c>
      <c r="E74" s="19"/>
    </row>
    <row r="75" spans="1:5" ht="13.8" thickBot="1" x14ac:dyDescent="0.3">
      <c r="A75" s="12" t="s">
        <v>99</v>
      </c>
      <c r="B75" s="97"/>
      <c r="C75" s="122">
        <v>23850</v>
      </c>
      <c r="E75" s="19"/>
    </row>
    <row r="76" spans="1:5" ht="13.8" thickBot="1" x14ac:dyDescent="0.3">
      <c r="A76" s="12" t="s">
        <v>37</v>
      </c>
      <c r="B76" s="97"/>
      <c r="C76" s="122">
        <v>23850</v>
      </c>
      <c r="E76" s="19"/>
    </row>
    <row r="77" spans="1:5" ht="13.8" thickBot="1" x14ac:dyDescent="0.3">
      <c r="A77" s="12" t="s">
        <v>38</v>
      </c>
      <c r="B77" s="97"/>
      <c r="C77" s="122">
        <v>23850</v>
      </c>
      <c r="E77" s="19"/>
    </row>
    <row r="78" spans="1:5" ht="13.8" thickBot="1" x14ac:dyDescent="0.3">
      <c r="A78" s="12" t="s">
        <v>39</v>
      </c>
      <c r="B78" s="97"/>
      <c r="C78" s="122">
        <v>23850</v>
      </c>
      <c r="E78" s="19"/>
    </row>
    <row r="79" spans="1:5" ht="13.8" thickBot="1" x14ac:dyDescent="0.3">
      <c r="A79" s="12" t="s">
        <v>40</v>
      </c>
      <c r="B79" s="97"/>
      <c r="C79" s="122">
        <v>23850</v>
      </c>
      <c r="E79" s="19"/>
    </row>
    <row r="80" spans="1:5" ht="13.8" thickBot="1" x14ac:dyDescent="0.3">
      <c r="A80" s="12" t="s">
        <v>41</v>
      </c>
      <c r="B80" s="97"/>
      <c r="C80" s="122">
        <v>23850</v>
      </c>
      <c r="E80" s="19"/>
    </row>
    <row r="81" spans="1:17" ht="13.8" thickBot="1" x14ac:dyDescent="0.3">
      <c r="A81" s="12" t="s">
        <v>42</v>
      </c>
      <c r="B81" s="97"/>
      <c r="C81" s="122">
        <v>23850</v>
      </c>
      <c r="E81" s="19"/>
    </row>
    <row r="82" spans="1:17" ht="13.8" thickBot="1" x14ac:dyDescent="0.3">
      <c r="A82" s="12" t="s">
        <v>51</v>
      </c>
      <c r="B82" s="97"/>
      <c r="C82" s="122">
        <v>23850</v>
      </c>
      <c r="E82" s="19"/>
    </row>
    <row r="83" spans="1:17" ht="13.8" thickBot="1" x14ac:dyDescent="0.3">
      <c r="A83" s="13" t="s">
        <v>52</v>
      </c>
      <c r="B83" s="98"/>
      <c r="C83" s="122">
        <v>23850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23850</v>
      </c>
      <c r="D87" s="39">
        <f>C87</f>
        <v>23850</v>
      </c>
      <c r="E87" s="39">
        <f>D87</f>
        <v>23850</v>
      </c>
      <c r="F87" s="39">
        <f>E87</f>
        <v>23850</v>
      </c>
      <c r="G87" s="39">
        <f>F87</f>
        <v>23850</v>
      </c>
      <c r="H87" s="39">
        <f>C73</f>
        <v>23850</v>
      </c>
      <c r="I87" s="39">
        <f>H87</f>
        <v>23850</v>
      </c>
      <c r="J87" s="39">
        <f t="shared" si="11"/>
        <v>23850</v>
      </c>
      <c r="K87" s="39">
        <f t="shared" si="11"/>
        <v>23850</v>
      </c>
      <c r="L87" s="39">
        <f t="shared" si="11"/>
        <v>23850</v>
      </c>
      <c r="M87" s="39">
        <f>C74</f>
        <v>23850</v>
      </c>
      <c r="N87" s="39">
        <f>M87</f>
        <v>23850</v>
      </c>
      <c r="O87" s="39">
        <f t="shared" si="11"/>
        <v>23850</v>
      </c>
      <c r="P87" s="39">
        <f t="shared" si="11"/>
        <v>23850</v>
      </c>
      <c r="Q87" s="39">
        <f t="shared" si="11"/>
        <v>23850</v>
      </c>
    </row>
    <row r="88" spans="1:17" x14ac:dyDescent="0.25">
      <c r="A88" s="14" t="s">
        <v>45</v>
      </c>
      <c r="B88" s="14"/>
      <c r="C88" s="39">
        <f>C87/C86</f>
        <v>4770</v>
      </c>
      <c r="D88" s="39">
        <f t="shared" ref="D88:Q88" si="12">D87/D86</f>
        <v>4770</v>
      </c>
      <c r="E88" s="39">
        <f>E87/E86</f>
        <v>4770</v>
      </c>
      <c r="F88" s="39">
        <f t="shared" si="12"/>
        <v>4770</v>
      </c>
      <c r="G88" s="39">
        <f t="shared" si="12"/>
        <v>4770</v>
      </c>
      <c r="H88" s="39">
        <f t="shared" si="12"/>
        <v>4770</v>
      </c>
      <c r="I88" s="39">
        <f t="shared" si="12"/>
        <v>4770</v>
      </c>
      <c r="J88" s="39">
        <f t="shared" si="12"/>
        <v>4770</v>
      </c>
      <c r="K88" s="39">
        <f t="shared" si="12"/>
        <v>4770</v>
      </c>
      <c r="L88" s="39">
        <f t="shared" si="12"/>
        <v>4770</v>
      </c>
      <c r="M88" s="39">
        <f t="shared" si="12"/>
        <v>4770</v>
      </c>
      <c r="N88" s="39">
        <f t="shared" si="12"/>
        <v>4770</v>
      </c>
      <c r="O88" s="39">
        <f t="shared" si="12"/>
        <v>4770</v>
      </c>
      <c r="P88" s="39">
        <f t="shared" si="12"/>
        <v>4770</v>
      </c>
      <c r="Q88" s="39">
        <f t="shared" si="12"/>
        <v>4770</v>
      </c>
    </row>
    <row r="89" spans="1:17" x14ac:dyDescent="0.25">
      <c r="A89" s="14" t="s">
        <v>14</v>
      </c>
      <c r="B89" s="14"/>
      <c r="C89" s="41">
        <f>WACC!B21</f>
        <v>5.2395890419587809E-2</v>
      </c>
      <c r="D89" s="41">
        <f>C89</f>
        <v>5.2395890419587809E-2</v>
      </c>
      <c r="E89" s="41">
        <f t="shared" ref="E89:Q89" si="13">D89</f>
        <v>5.2395890419587809E-2</v>
      </c>
      <c r="F89" s="41">
        <f t="shared" si="13"/>
        <v>5.2395890419587809E-2</v>
      </c>
      <c r="G89" s="41">
        <f t="shared" si="13"/>
        <v>5.2395890419587809E-2</v>
      </c>
      <c r="H89" s="41">
        <f t="shared" si="13"/>
        <v>5.2395890419587809E-2</v>
      </c>
      <c r="I89" s="41">
        <f t="shared" si="13"/>
        <v>5.2395890419587809E-2</v>
      </c>
      <c r="J89" s="41">
        <f t="shared" si="13"/>
        <v>5.2395890419587809E-2</v>
      </c>
      <c r="K89" s="41">
        <f t="shared" si="13"/>
        <v>5.2395890419587809E-2</v>
      </c>
      <c r="L89" s="41">
        <f t="shared" si="13"/>
        <v>5.2395890419587809E-2</v>
      </c>
      <c r="M89" s="41">
        <f t="shared" si="13"/>
        <v>5.2395890419587809E-2</v>
      </c>
      <c r="N89" s="41">
        <f t="shared" si="13"/>
        <v>5.2395890419587809E-2</v>
      </c>
      <c r="O89" s="41">
        <f t="shared" si="13"/>
        <v>5.2395890419587809E-2</v>
      </c>
      <c r="P89" s="41">
        <f t="shared" si="13"/>
        <v>5.2395890419587809E-2</v>
      </c>
      <c r="Q89" s="41">
        <f t="shared" si="13"/>
        <v>5.2395890419587809E-2</v>
      </c>
    </row>
    <row r="90" spans="1:17" x14ac:dyDescent="0.25">
      <c r="A90" s="14" t="s">
        <v>46</v>
      </c>
      <c r="B90" s="14"/>
      <c r="C90" s="38">
        <f>C88/(1+C89)^C85</f>
        <v>4532.5148486642338</v>
      </c>
      <c r="D90" s="38">
        <f>D88/(1+D89)^D85</f>
        <v>4306.853428377729</v>
      </c>
      <c r="E90" s="38">
        <f>E88/(1+E89)^E85</f>
        <v>4092.4270681640501</v>
      </c>
      <c r="F90" s="38">
        <f t="shared" ref="F90:Q90" si="14">F88/(1+F89)^F85</f>
        <v>3888.676405351991</v>
      </c>
      <c r="G90" s="38">
        <f t="shared" si="14"/>
        <v>3695.06992639584</v>
      </c>
      <c r="H90" s="38">
        <f t="shared" si="14"/>
        <v>3511.1025803441935</v>
      </c>
      <c r="I90" s="38">
        <f t="shared" si="14"/>
        <v>3336.2944613403283</v>
      </c>
      <c r="J90" s="38">
        <f t="shared" si="14"/>
        <v>3170.1895567172501</v>
      </c>
      <c r="K90" s="38">
        <f t="shared" si="14"/>
        <v>3012.3545574216396</v>
      </c>
      <c r="L90" s="38">
        <f t="shared" si="14"/>
        <v>2862.3777276635137</v>
      </c>
      <c r="M90" s="38">
        <f t="shared" si="14"/>
        <v>2719.8678308429066</v>
      </c>
      <c r="N90" s="38">
        <f t="shared" si="14"/>
        <v>2584.45310895171</v>
      </c>
      <c r="O90" s="38">
        <f t="shared" si="14"/>
        <v>2455.7803127882748</v>
      </c>
      <c r="P90" s="38">
        <f t="shared" si="14"/>
        <v>2333.5137804549581</v>
      </c>
      <c r="Q90" s="38">
        <f t="shared" si="14"/>
        <v>2217.33456173474</v>
      </c>
    </row>
    <row r="91" spans="1:17" x14ac:dyDescent="0.25">
      <c r="A91" s="14" t="s">
        <v>47</v>
      </c>
      <c r="B91" s="14"/>
      <c r="C91" s="42">
        <f>SUM(C90:Q90)</f>
        <v>48718.810155213359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4770</v>
      </c>
      <c r="D92" s="45"/>
    </row>
    <row r="93" spans="1:17" ht="13.8" thickBot="1" x14ac:dyDescent="0.3">
      <c r="A93" s="14" t="s">
        <v>67</v>
      </c>
      <c r="B93" s="14"/>
      <c r="C93" s="16" t="s">
        <v>127</v>
      </c>
      <c r="E93" s="19"/>
    </row>
    <row r="94" spans="1:17" s="19" customFormat="1" ht="13.8" thickBot="1" x14ac:dyDescent="0.3">
      <c r="A94" s="20" t="s">
        <v>112</v>
      </c>
      <c r="B94" s="20"/>
      <c r="C94" s="31">
        <v>43281</v>
      </c>
      <c r="D94" s="9"/>
    </row>
    <row r="95" spans="1:17" s="19" customFormat="1" ht="13.8" thickBot="1" x14ac:dyDescent="0.3">
      <c r="A95" s="20" t="s">
        <v>113</v>
      </c>
      <c r="B95" s="20"/>
      <c r="C95" s="32">
        <v>44470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131</v>
      </c>
      <c r="B97" s="92">
        <f>ESCALATION_FACTORS!$B$4</f>
        <v>43646</v>
      </c>
      <c r="C97" s="101">
        <f>VLOOKUP($C$93,ESCALATION_FACTORS!$A$5:$E$9,2,)</f>
        <v>2.3E-2</v>
      </c>
    </row>
    <row r="98" spans="1:11" s="19" customFormat="1" ht="13.8" thickBot="1" x14ac:dyDescent="0.3">
      <c r="A98" s="20"/>
      <c r="B98" s="92">
        <f>ESCALATION_FACTORS!$C$4</f>
        <v>44012</v>
      </c>
      <c r="C98" s="101">
        <f>VLOOKUP($C$93,ESCALATION_FACTORS!$A$5:$E$9,3,)</f>
        <v>3.3000000000000002E-2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44377</v>
      </c>
      <c r="C99" s="101">
        <f>VLOOKUP($C$93,ESCALATION_FACTORS!$A$5:$E$9,4,)</f>
        <v>2.4E-2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44742</v>
      </c>
      <c r="C100" s="101">
        <f>VLOOKUP($C$93,ESCALATION_FACTORS!$A$5:$E$9,5,)</f>
        <v>2.3E-2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34.291357115615469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106</v>
      </c>
      <c r="B105" s="46"/>
      <c r="C105" s="10"/>
    </row>
    <row r="106" spans="1:11" ht="13.8" thickBot="1" x14ac:dyDescent="0.3">
      <c r="A106" s="23" t="s">
        <v>146</v>
      </c>
      <c r="B106" s="87">
        <f>(PC!C16*(1+M!B3)*PC!C4)</f>
        <v>149591558.00256535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142</v>
      </c>
      <c r="B107" s="152">
        <f>FFC!C18</f>
        <v>7109637.8488042597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141</v>
      </c>
      <c r="B108" s="144">
        <v>2.3999999999999998E-3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139</v>
      </c>
      <c r="B109" s="145">
        <v>1.026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8" thickBot="1" x14ac:dyDescent="0.3">
      <c r="A111" s="106" t="s">
        <v>124</v>
      </c>
      <c r="B111" s="153"/>
      <c r="C111" s="43">
        <f>(B106+B107)*B108*B109*B110</f>
        <v>424447.12713085383</v>
      </c>
      <c r="E111" s="19"/>
      <c r="G111" s="64"/>
    </row>
    <row r="112" spans="1:11" s="25" customFormat="1" ht="13.8" thickBot="1" x14ac:dyDescent="0.3">
      <c r="A112" s="148" t="s">
        <v>165</v>
      </c>
      <c r="B112" s="146">
        <v>153234.13</v>
      </c>
      <c r="C112" s="107"/>
      <c r="D112" s="112">
        <f>BRCP_Calculation!B3</f>
        <v>153234.12883012398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126</v>
      </c>
      <c r="B113" s="129"/>
      <c r="C113" s="43">
        <f>(2*B112*PC!C4)*B108*B109*B110</f>
        <v>125678.98522783296</v>
      </c>
      <c r="E113" s="19"/>
    </row>
    <row r="114" spans="1:5" ht="13.8" thickBot="1" x14ac:dyDescent="0.3">
      <c r="A114" s="106" t="s">
        <v>125</v>
      </c>
      <c r="B114" s="122">
        <f>110000*(1+C122)*(1+C123)*((C124*9/12)+1)</f>
        <v>116768.03015625</v>
      </c>
      <c r="D114" s="14"/>
      <c r="E114" s="26"/>
    </row>
    <row r="115" spans="1:5" ht="13.8" thickBot="1" x14ac:dyDescent="0.3">
      <c r="A115" s="118" t="s">
        <v>147</v>
      </c>
      <c r="B115" s="122">
        <f>20952*1.019*(1+C122)*(1+C123)*((C124*9/12)+1)</f>
        <v>22663.706540205374</v>
      </c>
      <c r="C115" s="43">
        <f>IF(AND(C119&gt;=B123,C119&lt;=B124),(B114+B115)*(1+C122)*(1+C123)*(1+C124)^((C119-B123)/(B124-B123)),NA())</f>
        <v>148014.9122253588</v>
      </c>
      <c r="D115" s="14"/>
      <c r="E115" s="150"/>
    </row>
    <row r="116" spans="1:5" ht="13.8" thickBot="1" x14ac:dyDescent="0.3">
      <c r="A116" s="20" t="s">
        <v>107</v>
      </c>
      <c r="B116" s="20"/>
      <c r="C116" s="43">
        <f>SUM(C111:C115)</f>
        <v>698141.02458404552</v>
      </c>
      <c r="D116" s="14"/>
      <c r="E116" s="149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112</v>
      </c>
      <c r="B119" s="20"/>
      <c r="C119" s="31">
        <v>44287</v>
      </c>
      <c r="D119" s="109"/>
    </row>
    <row r="120" spans="1:5" s="19" customFormat="1" ht="13.8" thickBot="1" x14ac:dyDescent="0.3">
      <c r="A120" s="20" t="s">
        <v>113</v>
      </c>
      <c r="B120" s="20"/>
      <c r="C120" s="32">
        <v>44470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131</v>
      </c>
      <c r="B122" s="92">
        <f>ESCALATION_FACTORS!$B$4</f>
        <v>43646</v>
      </c>
      <c r="C122" s="101">
        <f>VLOOKUP($C$118,ESCALATION_FACTORS!$A$5:$E$9,2,)</f>
        <v>0.02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44012</v>
      </c>
      <c r="C123" s="101">
        <f>VLOOKUP($C$118,ESCALATION_FACTORS!$A$5:$E$9,3,)</f>
        <v>2.2499999999999999E-2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44377</v>
      </c>
      <c r="C124" s="101">
        <f>VLOOKUP($C$118,ESCALATION_FACTORS!$A$5:$E$9,4,)</f>
        <v>2.375E-2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44742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4667.2733167917822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105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143</v>
      </c>
      <c r="C132" s="22"/>
      <c r="E132" s="19"/>
    </row>
    <row r="133" spans="1:6" ht="13.8" thickBot="1" x14ac:dyDescent="0.3">
      <c r="A133" s="23" t="s">
        <v>76</v>
      </c>
      <c r="B133" s="121">
        <v>1.99E-3</v>
      </c>
      <c r="C133" s="44">
        <f>B133*PC!$C$4*1000*365</f>
        <v>109969.39</v>
      </c>
      <c r="D133" s="14"/>
      <c r="E133" s="19"/>
    </row>
    <row r="134" spans="1:6" ht="13.8" thickBot="1" x14ac:dyDescent="0.3">
      <c r="A134" s="23" t="s">
        <v>77</v>
      </c>
      <c r="B134" s="121">
        <v>42.33137</v>
      </c>
      <c r="C134" s="99">
        <f>B134*365</f>
        <v>15450.950049999999</v>
      </c>
      <c r="E134" s="19"/>
    </row>
    <row r="135" spans="1:6" ht="13.8" thickBot="1" x14ac:dyDescent="0.3">
      <c r="A135" s="23" t="s">
        <v>75</v>
      </c>
      <c r="B135" s="121">
        <v>2.3879999999999998E-2</v>
      </c>
      <c r="C135" s="40">
        <f>B135*PC!$C$4*1000*365</f>
        <v>1319632.68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1445053.0200499999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112</v>
      </c>
      <c r="B138" s="20"/>
      <c r="C138" s="31">
        <v>43282</v>
      </c>
    </row>
    <row r="139" spans="1:6" s="19" customFormat="1" ht="13.8" thickBot="1" x14ac:dyDescent="0.3">
      <c r="A139" s="20" t="s">
        <v>113</v>
      </c>
      <c r="B139" s="20"/>
      <c r="C139" s="32">
        <v>44470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131</v>
      </c>
      <c r="B141" s="92">
        <f>ESCALATION_FACTORS!$B$4</f>
        <v>43646</v>
      </c>
      <c r="C141" s="101">
        <f>VLOOKUP($C$137,ESCALATION_FACTORS!$A$5:$E$9,2,)</f>
        <v>0.02</v>
      </c>
      <c r="E141" s="19"/>
    </row>
    <row r="142" spans="1:6" s="19" customFormat="1" ht="13.8" thickBot="1" x14ac:dyDescent="0.3">
      <c r="A142" s="20"/>
      <c r="B142" s="92">
        <f>ESCALATION_FACTORS!$C$4</f>
        <v>44012</v>
      </c>
      <c r="C142" s="101">
        <f>VLOOKUP($C$137,ESCALATION_FACTORS!$A$5:$E$9,3,)</f>
        <v>2.2499999999999999E-2</v>
      </c>
      <c r="D142" s="20"/>
    </row>
    <row r="143" spans="1:6" s="19" customFormat="1" ht="13.8" thickBot="1" x14ac:dyDescent="0.3">
      <c r="A143" s="20"/>
      <c r="B143" s="92">
        <f>ESCALATION_FACTORS!$D$4</f>
        <v>44377</v>
      </c>
      <c r="C143" s="101">
        <f>VLOOKUP($C$137,ESCALATION_FACTORS!$A$5:$E$9,4,)</f>
        <v>2.375E-2</v>
      </c>
      <c r="D143" s="20"/>
    </row>
    <row r="144" spans="1:6" s="19" customFormat="1" ht="13.8" thickBot="1" x14ac:dyDescent="0.3">
      <c r="A144" s="9"/>
      <c r="B144" s="92">
        <f>ESCALATION_FACTORS!$E$4</f>
        <v>44742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10254.727635437799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163" t="s">
        <v>83</v>
      </c>
      <c r="B149" s="164"/>
      <c r="C149" s="35">
        <f>SUM($C102,$C68,$C34,$C127,C146)</f>
        <v>29771.220635753314</v>
      </c>
    </row>
    <row r="150" spans="1:4" x14ac:dyDescent="0.25">
      <c r="A150" s="24"/>
      <c r="B150" s="24"/>
    </row>
  </sheetData>
  <sheetProtection autoFilter="0"/>
  <mergeCells count="1">
    <mergeCell ref="A149:B149"/>
  </mergeCells>
  <phoneticPr fontId="4" type="noConversion"/>
  <pageMargins left="0.75" right="0.75" top="1" bottom="1" header="0.5" footer="0.5"/>
  <pageSetup paperSize="9" scale="3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4"/>
  <sheetViews>
    <sheetView showGridLines="0" zoomScaleNormal="100" workbookViewId="0">
      <selection activeCell="C5" sqref="C5"/>
    </sheetView>
  </sheetViews>
  <sheetFormatPr defaultColWidth="9.1093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33203125" style="64" bestFit="1" customWidth="1"/>
    <col min="5" max="5" width="14" style="64" customWidth="1"/>
    <col min="6" max="6" width="11.44140625" style="64" bestFit="1" customWidth="1"/>
    <col min="7" max="7" width="6.33203125" style="64" bestFit="1" customWidth="1"/>
    <col min="8" max="8" width="22.33203125" style="64" bestFit="1" customWidth="1"/>
    <col min="9" max="16384" width="9.1093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94</v>
      </c>
      <c r="C4" s="121">
        <v>2.6</v>
      </c>
      <c r="D4" s="23">
        <f>C4/100</f>
        <v>2.6000000000000002E-2</v>
      </c>
      <c r="E4" s="23"/>
      <c r="F4" s="26"/>
    </row>
    <row r="5" spans="1:6" ht="13.8" thickBot="1" x14ac:dyDescent="0.3">
      <c r="A5" s="80" t="s">
        <v>4</v>
      </c>
      <c r="B5" s="80" t="s">
        <v>94</v>
      </c>
      <c r="C5" s="121">
        <v>2.42</v>
      </c>
      <c r="D5" s="23">
        <f>C5/100</f>
        <v>2.4199999999999999E-2</v>
      </c>
      <c r="E5" s="23"/>
      <c r="F5" s="26"/>
    </row>
    <row r="6" spans="1:6" ht="13.8" thickBot="1" x14ac:dyDescent="0.3">
      <c r="A6" s="80" t="s">
        <v>5</v>
      </c>
      <c r="B6" s="80" t="s">
        <v>94</v>
      </c>
      <c r="C6" s="142">
        <f>((1+C4/100)/(1+C5/100)-1)*100</f>
        <v>0.17574692442883233</v>
      </c>
      <c r="D6" s="23">
        <f>C6/100</f>
        <v>1.7574692442883233E-3</v>
      </c>
      <c r="E6" s="23"/>
      <c r="F6" s="26"/>
    </row>
    <row r="7" spans="1:6" ht="13.8" thickBot="1" x14ac:dyDescent="0.3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96</v>
      </c>
      <c r="B10" s="23" t="s">
        <v>94</v>
      </c>
      <c r="C10" s="121">
        <v>2.0699999999999998</v>
      </c>
      <c r="D10" s="23">
        <f>C10/100</f>
        <v>2.07E-2</v>
      </c>
      <c r="E10" s="23"/>
      <c r="F10" s="26"/>
    </row>
    <row r="11" spans="1:6" ht="13.8" thickBot="1" x14ac:dyDescent="0.3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4.7950000000000007E-2</v>
      </c>
      <c r="E17" s="23"/>
    </row>
    <row r="18" spans="1:5" ht="13.8" thickBot="1" x14ac:dyDescent="0.3">
      <c r="A18" s="82" t="s">
        <v>25</v>
      </c>
      <c r="B18" s="84">
        <f>D4+(D9*D7)</f>
        <v>7.5800000000000006E-2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7.7863870967741944E-2</v>
      </c>
      <c r="E20" s="23"/>
    </row>
    <row r="21" spans="1:5" ht="13.8" thickBot="1" x14ac:dyDescent="0.3">
      <c r="A21" s="24" t="s">
        <v>27</v>
      </c>
      <c r="B21" s="85">
        <f>((1+B20)/(1+D5))-1</f>
        <v>5.2395890419587809E-2</v>
      </c>
      <c r="E21" s="23"/>
    </row>
    <row r="24" spans="1:5" x14ac:dyDescent="0.25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G14" sqref="G14"/>
    </sheetView>
  </sheetViews>
  <sheetFormatPr defaultColWidth="9.109375" defaultRowHeight="13.2" x14ac:dyDescent="0.25"/>
  <cols>
    <col min="1" max="1" width="32.6640625" style="9" bestFit="1" customWidth="1"/>
    <col min="2" max="2" width="15" style="9" customWidth="1"/>
    <col min="3" max="3" width="22.109375" style="9" bestFit="1" customWidth="1"/>
    <col min="4" max="4" width="9.109375" style="9"/>
    <col min="5" max="5" width="13.109375" style="9" bestFit="1" customWidth="1"/>
    <col min="6" max="6" width="9.109375" style="9"/>
    <col min="7" max="7" width="10.109375" style="9" bestFit="1" customWidth="1"/>
    <col min="8" max="16384" width="9.109375" style="9"/>
  </cols>
  <sheetData>
    <row r="1" spans="1:8" s="8" customFormat="1" ht="18" thickBot="1" x14ac:dyDescent="0.35">
      <c r="A1" s="6" t="s">
        <v>88</v>
      </c>
      <c r="B1" s="46"/>
      <c r="C1" s="7"/>
    </row>
    <row r="2" spans="1:8" ht="13.8" thickBot="1" x14ac:dyDescent="0.3">
      <c r="E2" s="19"/>
    </row>
    <row r="3" spans="1:8" ht="13.8" thickBot="1" x14ac:dyDescent="0.3">
      <c r="A3" s="131" t="s">
        <v>160</v>
      </c>
      <c r="C3" s="2">
        <v>122517100</v>
      </c>
      <c r="E3" s="19"/>
    </row>
    <row r="4" spans="1:8" ht="13.8" thickBot="1" x14ac:dyDescent="0.3">
      <c r="A4" s="9" t="s">
        <v>29</v>
      </c>
      <c r="C4" s="141">
        <v>151.4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809227.87318361946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82</v>
      </c>
      <c r="E8" s="19"/>
    </row>
    <row r="9" spans="1:8" s="19" customFormat="1" ht="13.8" thickBot="1" x14ac:dyDescent="0.3">
      <c r="A9" s="20" t="s">
        <v>112</v>
      </c>
      <c r="B9" s="20"/>
      <c r="C9" s="31">
        <v>43281</v>
      </c>
    </row>
    <row r="10" spans="1:8" s="19" customFormat="1" ht="13.8" thickBot="1" x14ac:dyDescent="0.3">
      <c r="A10" s="20" t="s">
        <v>113</v>
      </c>
      <c r="B10" s="20"/>
      <c r="C10" s="32">
        <v>44287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131</v>
      </c>
      <c r="B12" s="92">
        <f>ESCALATION_FACTORS!$B$4</f>
        <v>43646</v>
      </c>
      <c r="C12" s="156">
        <f>ESCALATION_FACTORS!B5</f>
        <v>5.2999999999999999E-2</v>
      </c>
    </row>
    <row r="13" spans="1:8" ht="13.8" thickBot="1" x14ac:dyDescent="0.3">
      <c r="A13" s="20"/>
      <c r="B13" s="92">
        <f>ESCALATION_FACTORS!$C$4</f>
        <v>44012</v>
      </c>
      <c r="C13" s="157">
        <f>ESCALATION_FACTORS!C5</f>
        <v>-1.0999999999999999E-2</v>
      </c>
    </row>
    <row r="14" spans="1:8" ht="13.8" thickBot="1" x14ac:dyDescent="0.3">
      <c r="A14" s="20"/>
      <c r="B14" s="92">
        <f>ESCALATION_FACTORS!$D$4</f>
        <v>44377</v>
      </c>
      <c r="C14" s="157">
        <f>ESCALATION_FACTORS!D5</f>
        <v>1E-3</v>
      </c>
    </row>
    <row r="15" spans="1:8" s="19" customFormat="1" ht="13.8" thickBot="1" x14ac:dyDescent="0.3">
      <c r="A15" s="20"/>
      <c r="B15" s="20"/>
      <c r="C15" s="20"/>
      <c r="D15" s="20"/>
      <c r="E15" s="20"/>
      <c r="H15" s="131"/>
    </row>
    <row r="16" spans="1:8" ht="13.8" thickBot="1" x14ac:dyDescent="0.3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843378.52961546904</v>
      </c>
      <c r="F16" s="133"/>
      <c r="G16" s="151"/>
      <c r="H16" s="130"/>
    </row>
  </sheetData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workbookViewId="0">
      <selection activeCell="F7" sqref="F7"/>
    </sheetView>
  </sheetViews>
  <sheetFormatPr defaultColWidth="9.109375" defaultRowHeight="13.2" x14ac:dyDescent="0.25"/>
  <cols>
    <col min="1" max="1" width="32.6640625" style="9" bestFit="1" customWidth="1"/>
    <col min="2" max="16384" width="9.1093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120">
        <f>21017095/122517100</f>
        <v>0.17154417628233121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D15"/>
  <sheetViews>
    <sheetView showGridLines="0" zoomScaleNormal="100" workbookViewId="0">
      <selection activeCell="G44" sqref="G44"/>
    </sheetView>
  </sheetViews>
  <sheetFormatPr defaultColWidth="9.109375" defaultRowHeight="13.2" x14ac:dyDescent="0.25"/>
  <cols>
    <col min="1" max="1" width="31.33203125" style="9" customWidth="1"/>
    <col min="2" max="2" width="30.5546875" style="9" customWidth="1"/>
    <col min="3" max="16384" width="9.109375" style="9"/>
  </cols>
  <sheetData>
    <row r="1" spans="1:4" s="19" customFormat="1" ht="18" thickBot="1" x14ac:dyDescent="0.35">
      <c r="A1" s="6" t="s">
        <v>132</v>
      </c>
      <c r="B1" s="27"/>
      <c r="D1" s="26"/>
    </row>
    <row r="2" spans="1:4" ht="13.5" customHeight="1" thickBot="1" x14ac:dyDescent="0.3">
      <c r="D2" s="19"/>
    </row>
    <row r="3" spans="1:4" ht="13.8" thickBot="1" x14ac:dyDescent="0.3">
      <c r="A3" s="14" t="s">
        <v>103</v>
      </c>
      <c r="B3" s="122">
        <v>179028</v>
      </c>
      <c r="D3" s="19"/>
    </row>
    <row r="4" spans="1:4" ht="13.8" thickBot="1" x14ac:dyDescent="0.3">
      <c r="A4" s="12"/>
      <c r="D4" s="19"/>
    </row>
    <row r="5" spans="1:4" x14ac:dyDescent="0.25">
      <c r="A5" s="80" t="s">
        <v>102</v>
      </c>
      <c r="B5" s="34" t="s">
        <v>128</v>
      </c>
      <c r="D5" s="19"/>
    </row>
    <row r="6" spans="1:4" s="19" customFormat="1" ht="13.8" thickBot="1" x14ac:dyDescent="0.3">
      <c r="A6" s="20" t="s">
        <v>112</v>
      </c>
      <c r="B6" s="32">
        <v>44287</v>
      </c>
    </row>
    <row r="7" spans="1:4" s="19" customFormat="1" ht="13.8" thickBot="1" x14ac:dyDescent="0.3">
      <c r="A7" s="20" t="s">
        <v>113</v>
      </c>
      <c r="B7" s="32">
        <v>44287</v>
      </c>
    </row>
    <row r="8" spans="1:4" ht="13.8" thickBot="1" x14ac:dyDescent="0.3">
      <c r="C8" s="20"/>
      <c r="D8" s="20"/>
    </row>
    <row r="9" spans="1:4" ht="13.8" thickBot="1" x14ac:dyDescent="0.3">
      <c r="A9" s="93" t="s">
        <v>68</v>
      </c>
      <c r="B9" s="94">
        <f>VLOOKUP(B5,ESCALATION_FACTORS!$A$5:$E$9,2,)</f>
        <v>1.17E-2</v>
      </c>
      <c r="D9" s="19"/>
    </row>
    <row r="10" spans="1:4" ht="13.8" thickBot="1" x14ac:dyDescent="0.3">
      <c r="D10" s="19"/>
    </row>
    <row r="11" spans="1:4" ht="13.8" thickBot="1" x14ac:dyDescent="0.3">
      <c r="A11" s="14" t="s">
        <v>89</v>
      </c>
      <c r="B11" s="35">
        <f>B3*(1+B9)^((B7-B6)/365)</f>
        <v>179028</v>
      </c>
      <c r="D11" s="19"/>
    </row>
    <row r="12" spans="1:4" x14ac:dyDescent="0.25">
      <c r="D12" s="19"/>
    </row>
    <row r="13" spans="1:4" x14ac:dyDescent="0.25">
      <c r="D13" s="19"/>
    </row>
    <row r="14" spans="1:4" x14ac:dyDescent="0.25">
      <c r="D14" s="19"/>
    </row>
    <row r="15" spans="1:4" x14ac:dyDescent="0.25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18"/>
  <sheetViews>
    <sheetView showGridLines="0" workbookViewId="0">
      <selection activeCell="G43" sqref="G43"/>
    </sheetView>
  </sheetViews>
  <sheetFormatPr defaultColWidth="9.109375" defaultRowHeight="13.2" x14ac:dyDescent="0.25"/>
  <cols>
    <col min="1" max="1" width="53" style="9" bestFit="1" customWidth="1"/>
    <col min="2" max="3" width="14.88671875" style="9" customWidth="1"/>
    <col min="4" max="4" width="11.109375" style="9" bestFit="1" customWidth="1"/>
    <col min="5" max="5" width="9.109375" style="9"/>
    <col min="6" max="7" width="11.109375" style="9" bestFit="1" customWidth="1"/>
    <col min="8" max="16384" width="9.109375" style="9"/>
  </cols>
  <sheetData>
    <row r="1" spans="1:7" s="19" customFormat="1" ht="18" thickBot="1" x14ac:dyDescent="0.35">
      <c r="A1" s="163" t="s">
        <v>90</v>
      </c>
      <c r="B1" s="165"/>
      <c r="C1" s="164"/>
    </row>
    <row r="3" spans="1:7" x14ac:dyDescent="0.25">
      <c r="A3" s="64" t="s">
        <v>110</v>
      </c>
    </row>
    <row r="4" spans="1:7" ht="13.8" thickBot="1" x14ac:dyDescent="0.3"/>
    <row r="5" spans="1:7" ht="13.8" thickBot="1" x14ac:dyDescent="0.3">
      <c r="A5" s="19" t="s">
        <v>148</v>
      </c>
      <c r="C5" s="119">
        <v>6218460</v>
      </c>
      <c r="E5" s="19"/>
    </row>
    <row r="6" spans="1:7" ht="31.5" customHeight="1" thickBot="1" x14ac:dyDescent="0.3">
      <c r="A6" s="113" t="s">
        <v>109</v>
      </c>
      <c r="C6" s="132">
        <v>478900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114</v>
      </c>
      <c r="C8" s="87">
        <f>SUM(C5:C6)</f>
        <v>6697360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112</v>
      </c>
      <c r="C11" s="31">
        <v>43281</v>
      </c>
    </row>
    <row r="12" spans="1:7" s="19" customFormat="1" ht="13.8" thickBot="1" x14ac:dyDescent="0.3">
      <c r="A12" s="20" t="s">
        <v>113</v>
      </c>
      <c r="C12" s="32">
        <v>44287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131</v>
      </c>
      <c r="B14" s="92">
        <f>ESCALATION_FACTORS!$B$4</f>
        <v>43646</v>
      </c>
      <c r="C14" s="101">
        <f>VLOOKUP($C$10,ESCALATION_FACTORS!$A$5:$E$9,2,)</f>
        <v>0.02</v>
      </c>
      <c r="E14" s="19"/>
    </row>
    <row r="15" spans="1:7" s="19" customFormat="1" ht="13.8" thickBot="1" x14ac:dyDescent="0.3">
      <c r="A15" s="20"/>
      <c r="B15" s="92">
        <f>ESCALATION_FACTORS!$C$4</f>
        <v>44012</v>
      </c>
      <c r="C15" s="101">
        <f>VLOOKUP($C$10,ESCALATION_FACTORS!$A$5:$E$9,3,)</f>
        <v>2.2499999999999999E-2</v>
      </c>
      <c r="D15" s="20"/>
    </row>
    <row r="16" spans="1:7" s="19" customFormat="1" ht="13.8" thickBot="1" x14ac:dyDescent="0.3">
      <c r="A16" s="20"/>
      <c r="B16" s="92">
        <f>ESCALATION_FACTORS!$D$4</f>
        <v>44377</v>
      </c>
      <c r="C16" s="101">
        <f>VLOOKUP($C$10,ESCALATION_FACTORS!$A$5:$E$9,4,)</f>
        <v>2.375E-2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7109637.8488042597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MARKETS-1263858229-4551</_dlc_DocId>
    <_dlc_DocIdUrl xmlns="a14523ce-dede-483e-883a-2d83261080bd">
      <Url>http://sharedocs/sites/markets/o/sc/_layouts/15/DocIdRedir.aspx?ID=MARKETS-1263858229-4551</Url>
      <Description>MARKETS-1263858229-4551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CD25C-2658-4DA4-A426-7A18D1E21E1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FA979AE-1882-4D2B-8D29-387D04367322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BF05AE-A237-4008-8B96-641414DD2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  <vt:lpstr>'ANNUALISED_FIXED_O&amp;M'!Print_Area</vt:lpstr>
    </vt:vector>
  </TitlesOfParts>
  <Company>IMOWA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Katelyn Rigden</cp:lastModifiedBy>
  <cp:lastPrinted>2018-09-21T02:22:15Z</cp:lastPrinted>
  <dcterms:created xsi:type="dcterms:W3CDTF">2008-08-08T07:52:00Z</dcterms:created>
  <dcterms:modified xsi:type="dcterms:W3CDTF">2018-10-08T02:22:48Z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0x0101005A456C7A5B82A148801EF290BF8A088C</vt:lpwstr>
  </property>
  <property fmtid="{D5CDD505-2E9C-101B-9397-08002B2CF9AE}" pid="4" name="Order">
    <vt:r8>1306700</vt:r8>
  </property>
  <property fmtid="{D5CDD505-2E9C-101B-9397-08002B2CF9AE}" pid="5" name="Market">
    <vt:lpwstr>Electricity</vt:lpwstr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f26dc780-3ddd-4994-ac0c-e93f2fc0f88e</vt:lpwstr>
  </property>
</Properties>
</file>