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510" windowWidth="13650" windowHeight="10485" tabRatio="770" activeTab="0"/>
  </bookViews>
  <sheets>
    <sheet name="README" sheetId="1" r:id="rId1"/>
    <sheet name="MRCP_Calculation" sheetId="2" r:id="rId2"/>
    <sheet name="ANNUALISED_CAP_COST" sheetId="3" r:id="rId3"/>
    <sheet name="ANNUALISED_FIXED_O&amp;M" sheetId="4" r:id="rId4"/>
    <sheet name="WACC" sheetId="5" r:id="rId5"/>
    <sheet name="PC" sheetId="6" r:id="rId6"/>
    <sheet name="M" sheetId="7" r:id="rId7"/>
    <sheet name="TC" sheetId="8" r:id="rId8"/>
    <sheet name="FFC" sheetId="9" r:id="rId9"/>
    <sheet name="LC" sheetId="10" r:id="rId10"/>
    <sheet name="ESCALATION_FACTORS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van Niekerk</author>
  </authors>
  <commentList>
    <comment ref="C5" authorId="0">
      <text>
        <r>
          <rPr>
            <b/>
            <sz val="9"/>
            <rFont val="Tahoma"/>
            <family val="2"/>
          </rPr>
          <t>van Niekerk:</t>
        </r>
        <r>
          <rPr>
            <sz val="9"/>
            <rFont val="Tahoma"/>
            <family val="2"/>
          </rPr>
          <t xml:space="preserve">
These numbers have been updated based on the 2012 Landgate report</t>
        </r>
      </text>
    </comment>
  </commentList>
</comments>
</file>

<file path=xl/comments11.xml><?xml version="1.0" encoding="utf-8"?>
<comments xmlns="http://schemas.openxmlformats.org/spreadsheetml/2006/main">
  <authors>
    <author>van Niekerk</author>
    <author>Johan van Niekerk</author>
    <author>Greg Ruthven</author>
  </authors>
  <commentList>
    <comment ref="B5" authorId="0">
      <text>
        <r>
          <rPr>
            <b/>
            <sz val="9"/>
            <rFont val="Tahoma"/>
            <family val="2"/>
          </rPr>
          <t>van Niekerk:</t>
        </r>
        <r>
          <rPr>
            <sz val="9"/>
            <rFont val="Tahoma"/>
            <family val="2"/>
          </rPr>
          <t xml:space="preserve">
As per SKM report dated 30/10/2012</t>
        </r>
      </text>
    </comment>
    <comment ref="B9" authorId="1">
      <text>
        <r>
          <rPr>
            <b/>
            <sz val="9"/>
            <rFont val="Tahoma"/>
            <family val="2"/>
          </rPr>
          <t>As per WP report dated 8/10/2012</t>
        </r>
      </text>
    </comment>
    <comment ref="B8" authorId="2">
      <text>
        <r>
          <rPr>
            <b/>
            <sz val="9"/>
            <rFont val="Tahoma"/>
            <family val="2"/>
          </rPr>
          <t>Greg Ruthven:</t>
        </r>
        <r>
          <rPr>
            <sz val="9"/>
            <rFont val="Tahoma"/>
            <family val="2"/>
          </rPr>
          <t xml:space="preserve">
As per Reserve Bank of Australia Statement on Monetary Policy, November 2012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30" authorId="0">
      <text>
        <r>
          <rPr>
            <b/>
            <sz val="8"/>
            <rFont val="Tahoma"/>
            <family val="2"/>
          </rPr>
          <t>MT :</t>
        </r>
        <r>
          <rPr>
            <sz val="8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4.xml><?xml version="1.0" encoding="utf-8"?>
<comments xmlns="http://schemas.openxmlformats.org/spreadsheetml/2006/main">
  <authors>
    <author>Greg Ruthven</author>
  </authors>
  <commentList>
    <comment ref="B128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Price for Bluewaters - the maximum rate for power stations located in the regions listed in the Market Procedure</t>
        </r>
      </text>
    </comment>
    <comment ref="C107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This cell calculated as:
$120,000 as at 30 June 2012, escalated forward to 1 April 2015 for consistency with the Asset replacement insurance above.
2% mark-up for terrorism levy
10% mark-up for stamp duty (also applies to terrorism levy)</t>
        </r>
      </text>
    </comment>
    <comment ref="C108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Included within the asset replacement insurance</t>
        </r>
      </text>
    </comment>
    <comment ref="C106" authorId="0">
      <text>
        <r>
          <rPr>
            <b/>
            <sz val="8"/>
            <rFont val="Tahoma"/>
            <family val="2"/>
          </rPr>
          <t>Greg Ruthven:</t>
        </r>
        <r>
          <rPr>
            <sz val="8"/>
            <rFont val="Tahoma"/>
            <family val="2"/>
          </rPr>
          <t xml:space="preserve">
Includes business interruption insurance
Premium calculated as 0.28%  of maximum liability, price as at 1 April 2015.
Maximum liability calculated as (PC x (1+M) x CC) + FFC (non-fuel portion) + 2 years of capacity refunds (2 x $153,400 x CAP)
2% mark-up for terrorism levy
10% mark-up for stamp duty (also applies to terrorism levy)</t>
        </r>
      </text>
    </comment>
  </commentList>
</comments>
</file>

<file path=xl/sharedStrings.xml><?xml version="1.0" encoding="utf-8"?>
<sst xmlns="http://schemas.openxmlformats.org/spreadsheetml/2006/main" count="264" uniqueCount="151">
  <si>
    <t>Where</t>
  </si>
  <si>
    <t>MAXIMUM RESERVE CAPACITY PRICE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</si>
  <si>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</si>
  <si>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</si>
  <si>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</si>
  <si>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</si>
  <si>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</si>
  <si>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</si>
  <si>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</si>
  <si>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</si>
  <si>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</si>
  <si>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</si>
  <si>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</si>
  <si>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</si>
  <si>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</si>
  <si>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</si>
  <si>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</si>
  <si>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</si>
  <si>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</si>
  <si>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</si>
  <si>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</si>
  <si>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</si>
  <si>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</si>
  <si>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</si>
  <si>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</si>
  <si>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</si>
  <si>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</si>
  <si>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</si>
  <si>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</si>
  <si>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</si>
  <si>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</si>
  <si>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</si>
  <si>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SKM Total EPC Cost ($)</t>
  </si>
  <si>
    <t>Total M as a percentage of CAPEX</t>
  </si>
  <si>
    <t>ITEM A - Sub total for facility intallation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</si>
  <si>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</si>
  <si>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</si>
  <si>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</si>
  <si>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</si>
  <si>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</si>
  <si>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</si>
  <si>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</si>
  <si>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</si>
  <si>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</si>
  <si>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</si>
  <si>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</si>
  <si>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</si>
  <si>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</si>
  <si>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</si>
  <si>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</si>
  <si>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</si>
  <si>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</si>
  <si>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</si>
  <si>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</si>
  <si>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</si>
  <si>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</si>
  <si>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</si>
  <si>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</si>
  <si>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</si>
  <si>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</si>
  <si>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</si>
  <si>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</si>
  <si>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</si>
  <si>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</si>
  <si>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</si>
  <si>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</si>
  <si>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</si>
  <si>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</si>
  <si>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</si>
  <si>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</si>
  <si>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</si>
  <si>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</si>
  <si>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</si>
  <si>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</si>
  <si>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</si>
  <si>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</si>
  <si>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</si>
  <si>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</si>
  <si>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</si>
  <si>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</si>
  <si>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</si>
  <si>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This spreadsheet performs the calculation of the Maximum Reserve Capacity Price (MRCP). It has been published to improve the transparency of the MRCP determination for Market Participants.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</si>
  <si>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</si>
  <si>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</si>
  <si>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</si>
  <si>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M sheet contains the margin M for legal, financing and approval costs as provided by SKM.</t>
  </si>
  <si>
    <t xml:space="preserve">  * The PC sheet calculates the annualised power station capital cost from the costs provided by SKM.</t>
  </si>
  <si>
    <t xml:space="preserve">  * The ANNUALISED_CAP_COST sheet determines the annualised capital cost for the power station.</t>
  </si>
  <si>
    <t xml:space="preserve">  * The MRCP_Calculation sheet displays the final MRCP equation and the various input values.</t>
  </si>
  <si>
    <t>The following worksheets perform or display the calculations that lead to the MRCP:</t>
  </si>
  <si>
    <t>Power_Station_Capital</t>
  </si>
  <si>
    <t>MRCP</t>
  </si>
  <si>
    <t xml:space="preserve">The Maximum Reserve Capacity Price to apply in a reserve Capacity Auction 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</si>
  <si>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</si>
  <si>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</si>
  <si>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</si>
  <si>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</si>
  <si>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</si>
  <si>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</si>
  <si>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</si>
  <si>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MRCP =(ANNUALISED_FIXED_O&amp;M + ANNUALISED_CAP_COST / CC)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</si>
  <si>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</si>
  <si>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</si>
  <si>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</si>
  <si>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</si>
  <si>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</si>
  <si>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</si>
  <si>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</si>
  <si>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</si>
  <si>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</si>
  <si>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</si>
  <si>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</si>
  <si>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</si>
  <si>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</si>
  <si>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</si>
  <si>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</si>
  <si>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</si>
  <si>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</si>
  <si>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</si>
  <si>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</si>
  <si>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</si>
  <si>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</si>
  <si>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</si>
  <si>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</si>
  <si>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</si>
  <si>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</si>
  <si>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</si>
  <si>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</si>
  <si>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</si>
  <si>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</si>
  <si>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</si>
  <si>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</si>
  <si>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</si>
  <si>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</si>
  <si>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</si>
  <si>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</si>
  <si>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</si>
  <si>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</si>
  <si>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 xml:space="preserve">  * The ANNUALISED_FIXED_O&amp;M sheet calculates the annualised fixed O&amp;M cost from the costs provided by SKM, Western Power and the IMO.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</si>
  <si>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</si>
  <si>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</si>
  <si>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</si>
  <si>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</si>
  <si>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</si>
  <si>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</si>
  <si>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</si>
  <si>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</si>
  <si>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 xml:space="preserve">  * The ESCALATION_FACTORS sheet contains the various cost escalation factors provided by SKM and Western Power.</t>
  </si>
  <si>
    <t xml:space="preserve">  * The WACC sheet calculates the Weighted Average Cost of Capital from the DRP provided by Pricewaterhouse Coopers (PwC) and other WACC parameters calculated by the IMO.</t>
  </si>
  <si>
    <t xml:space="preserve">  * The FFC sheet calculates the fixed fuel cost from the costs provided by SKM.</t>
  </si>
  <si>
    <t>IMO Calculation Spreadsheet for Maximum Reserve Capacity Price (2015/16) - Final Report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</si>
</sst>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_ ;[Red]\-#,##0.00\ "/>
    <numFmt numFmtId="174" formatCode="[$-C09]dddd\,\ d\ mmmm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&quot;$&quot;#,##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mmm\-yyyy"/>
    <numFmt numFmtId="188" formatCode="d\-mmm\-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0" fontId="1" fillId="33" borderId="10" xfId="0" applyNumberFormat="1" applyFont="1" applyFill="1" applyBorder="1" applyAlignment="1" applyProtection="1">
      <alignment/>
      <protection locked="0"/>
    </xf>
    <xf numFmtId="172" fontId="0" fillId="33" borderId="10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72" fontId="0" fillId="33" borderId="12" xfId="0" applyNumberForma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172" fontId="0" fillId="33" borderId="19" xfId="0" applyNumberForma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/>
      <protection/>
    </xf>
    <xf numFmtId="172" fontId="1" fillId="36" borderId="10" xfId="0" applyNumberFormat="1" applyFon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72" fontId="0" fillId="36" borderId="0" xfId="0" applyNumberFormat="1" applyFill="1" applyAlignment="1" applyProtection="1">
      <alignment/>
      <protection/>
    </xf>
    <xf numFmtId="172" fontId="0" fillId="36" borderId="10" xfId="0" applyNumberFormat="1" applyFill="1" applyBorder="1" applyAlignment="1" applyProtection="1">
      <alignment/>
      <protection/>
    </xf>
    <xf numFmtId="10" fontId="0" fillId="36" borderId="0" xfId="0" applyNumberFormat="1" applyFill="1" applyAlignment="1" applyProtection="1">
      <alignment/>
      <protection/>
    </xf>
    <xf numFmtId="172" fontId="1" fillId="36" borderId="0" xfId="0" applyNumberFormat="1" applyFont="1" applyFill="1" applyAlignment="1" applyProtection="1">
      <alignment/>
      <protection/>
    </xf>
    <xf numFmtId="172" fontId="1" fillId="36" borderId="19" xfId="0" applyNumberFormat="1" applyFont="1" applyFill="1" applyBorder="1" applyAlignment="1" applyProtection="1">
      <alignment/>
      <protection/>
    </xf>
    <xf numFmtId="172" fontId="0" fillId="36" borderId="19" xfId="0" applyNumberFormat="1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wrapText="1"/>
      <protection/>
    </xf>
    <xf numFmtId="180" fontId="1" fillId="36" borderId="0" xfId="59" applyNumberFormat="1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0" fontId="1" fillId="36" borderId="0" xfId="0" applyNumberFormat="1" applyFont="1" applyFill="1" applyAlignment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right"/>
      <protection/>
    </xf>
    <xf numFmtId="8" fontId="1" fillId="36" borderId="0" xfId="0" applyNumberFormat="1" applyFont="1" applyFill="1" applyAlignment="1" applyProtection="1">
      <alignment/>
      <protection/>
    </xf>
    <xf numFmtId="0" fontId="1" fillId="39" borderId="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0" fontId="1" fillId="0" borderId="22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wrapText="1"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10" fontId="1" fillId="36" borderId="24" xfId="0" applyNumberFormat="1" applyFont="1" applyFill="1" applyBorder="1" applyAlignment="1" applyProtection="1">
      <alignment/>
      <protection/>
    </xf>
    <xf numFmtId="10" fontId="1" fillId="36" borderId="19" xfId="0" applyNumberFormat="1" applyFont="1" applyFill="1" applyBorder="1" applyAlignment="1" applyProtection="1">
      <alignment/>
      <protection/>
    </xf>
    <xf numFmtId="10" fontId="1" fillId="36" borderId="25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wrapText="1"/>
      <protection/>
    </xf>
    <xf numFmtId="172" fontId="1" fillId="36" borderId="10" xfId="0" applyNumberFormat="1" applyFont="1" applyFill="1" applyBorder="1" applyAlignment="1" applyProtection="1">
      <alignment horizontal="right"/>
      <protection/>
    </xf>
    <xf numFmtId="0" fontId="0" fillId="34" borderId="21" xfId="0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72" fontId="0" fillId="36" borderId="10" xfId="0" applyNumberFormat="1" applyFill="1" applyBorder="1" applyAlignment="1" applyProtection="1">
      <alignment horizontal="right"/>
      <protection/>
    </xf>
    <xf numFmtId="15" fontId="1" fillId="40" borderId="26" xfId="0" applyNumberFormat="1" applyFont="1" applyFill="1" applyBorder="1" applyAlignment="1" applyProtection="1">
      <alignment/>
      <protection/>
    </xf>
    <xf numFmtId="15" fontId="1" fillId="40" borderId="27" xfId="0" applyNumberFormat="1" applyFont="1" applyFill="1" applyBorder="1" applyAlignment="1" applyProtection="1">
      <alignment/>
      <protection/>
    </xf>
    <xf numFmtId="15" fontId="1" fillId="40" borderId="28" xfId="0" applyNumberFormat="1" applyFont="1" applyFill="1" applyBorder="1" applyAlignment="1" applyProtection="1">
      <alignment/>
      <protection/>
    </xf>
    <xf numFmtId="188" fontId="1" fillId="36" borderId="10" xfId="0" applyNumberFormat="1" applyFont="1" applyFill="1" applyBorder="1" applyAlignment="1" applyProtection="1">
      <alignment horizontal="right"/>
      <protection/>
    </xf>
    <xf numFmtId="0" fontId="1" fillId="0" borderId="16" xfId="0" applyFont="1" applyBorder="1" applyAlignment="1" applyProtection="1">
      <alignment/>
      <protection/>
    </xf>
    <xf numFmtId="10" fontId="1" fillId="36" borderId="19" xfId="59" applyNumberFormat="1" applyFont="1" applyFill="1" applyBorder="1" applyAlignment="1" applyProtection="1">
      <alignment horizontal="right"/>
      <protection/>
    </xf>
    <xf numFmtId="0" fontId="1" fillId="37" borderId="29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2" fontId="0" fillId="36" borderId="24" xfId="0" applyNumberFormat="1" applyFont="1" applyFill="1" applyBorder="1" applyAlignment="1" applyProtection="1">
      <alignment/>
      <protection/>
    </xf>
    <xf numFmtId="172" fontId="1" fillId="36" borderId="11" xfId="0" applyNumberFormat="1" applyFont="1" applyFill="1" applyBorder="1" applyAlignment="1" applyProtection="1">
      <alignment/>
      <protection/>
    </xf>
    <xf numFmtId="10" fontId="0" fillId="41" borderId="10" xfId="59" applyNumberFormat="1" applyFont="1" applyFill="1" applyBorder="1" applyAlignment="1" applyProtection="1">
      <alignment/>
      <protection/>
    </xf>
    <xf numFmtId="10" fontId="0" fillId="33" borderId="30" xfId="0" applyNumberFormat="1" applyFont="1" applyFill="1" applyBorder="1" applyAlignment="1" applyProtection="1">
      <alignment vertical="center"/>
      <protection locked="0"/>
    </xf>
    <xf numFmtId="10" fontId="0" fillId="33" borderId="31" xfId="0" applyNumberFormat="1" applyFont="1" applyFill="1" applyBorder="1" applyAlignment="1" applyProtection="1">
      <alignment vertical="center"/>
      <protection locked="0"/>
    </xf>
    <xf numFmtId="10" fontId="0" fillId="33" borderId="32" xfId="0" applyNumberFormat="1" applyFont="1" applyFill="1" applyBorder="1" applyAlignment="1" applyProtection="1">
      <alignment vertical="center"/>
      <protection locked="0"/>
    </xf>
    <xf numFmtId="10" fontId="0" fillId="33" borderId="33" xfId="0" applyNumberFormat="1" applyFont="1" applyFill="1" applyBorder="1" applyAlignment="1" applyProtection="1">
      <alignment vertical="center"/>
      <protection locked="0"/>
    </xf>
    <xf numFmtId="10" fontId="0" fillId="33" borderId="34" xfId="0" applyNumberFormat="1" applyFont="1" applyFill="1" applyBorder="1" applyAlignment="1" applyProtection="1">
      <alignment vertical="center"/>
      <protection locked="0"/>
    </xf>
    <xf numFmtId="10" fontId="0" fillId="33" borderId="35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6.57421875" style="0" bestFit="1" customWidth="1"/>
  </cols>
  <sheetData>
    <row r="1" ht="15.75">
      <c r="A1" s="9" t="s">
        <v>150</v>
      </c>
    </row>
    <row r="3" ht="12.75">
      <c r="A3" s="1" t="s">
        <v>81</v>
      </c>
    </row>
    <row r="5" ht="12.75">
      <c r="A5" s="1" t="s">
        <v>82</v>
      </c>
    </row>
    <row r="6" ht="12.75">
      <c r="A6" s="1" t="s">
        <v>83</v>
      </c>
    </row>
    <row r="8" ht="12.75">
      <c r="A8" s="1" t="s">
        <v>84</v>
      </c>
    </row>
    <row r="9" ht="12.75">
      <c r="A9" s="1" t="s">
        <v>138</v>
      </c>
    </row>
    <row r="10" ht="12.75">
      <c r="A10" s="1" t="s">
        <v>148</v>
      </c>
    </row>
    <row r="11" ht="12.75">
      <c r="A11" s="1" t="s">
        <v>86</v>
      </c>
    </row>
    <row r="12" ht="12.75">
      <c r="A12" s="1" t="s">
        <v>85</v>
      </c>
    </row>
    <row r="13" ht="12.75">
      <c r="A13" s="2" t="s">
        <v>145</v>
      </c>
    </row>
    <row r="14" ht="12.75">
      <c r="A14" s="1" t="s">
        <v>149</v>
      </c>
    </row>
    <row r="15" ht="12.75">
      <c r="A15" s="1" t="s">
        <v>146</v>
      </c>
    </row>
    <row r="16" ht="12.75">
      <c r="A16" s="1" t="s">
        <v>147</v>
      </c>
    </row>
    <row r="17" ht="12.75">
      <c r="A17" s="1"/>
    </row>
    <row r="18" ht="12.75">
      <c r="A18" s="1" t="s">
        <v>89</v>
      </c>
    </row>
    <row r="19" ht="12.75">
      <c r="A19" s="1" t="s">
        <v>87</v>
      </c>
    </row>
    <row r="20" ht="12.75">
      <c r="A20" s="1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13" bestFit="1" customWidth="1"/>
    <col min="2" max="2" width="21.8515625" style="13" customWidth="1"/>
    <col min="3" max="3" width="17.28125" style="13" bestFit="1" customWidth="1"/>
    <col min="4" max="4" width="15.140625" style="97" bestFit="1" customWidth="1"/>
    <col min="5" max="16384" width="9.140625" style="13" customWidth="1"/>
  </cols>
  <sheetData>
    <row r="1" spans="1:4" s="23" customFormat="1" ht="18.75" thickBot="1">
      <c r="A1" s="10" t="s">
        <v>102</v>
      </c>
      <c r="B1" s="51"/>
      <c r="C1" s="95"/>
      <c r="D1" s="92"/>
    </row>
    <row r="2" ht="12.75"/>
    <row r="3" spans="1:4" ht="12.75">
      <c r="A3" s="18" t="s">
        <v>57</v>
      </c>
      <c r="B3" s="18" t="s">
        <v>64</v>
      </c>
      <c r="C3" s="18" t="s">
        <v>66</v>
      </c>
      <c r="D3" s="96" t="s">
        <v>67</v>
      </c>
    </row>
    <row r="4" ht="13.5" thickBot="1"/>
    <row r="5" spans="1:4" ht="13.5" thickBot="1">
      <c r="A5" s="13" t="s">
        <v>58</v>
      </c>
      <c r="B5" s="4">
        <v>3</v>
      </c>
      <c r="C5" s="3">
        <f>1700000+256565/B5</f>
        <v>1785521.6666666667</v>
      </c>
      <c r="D5" s="98">
        <f>B5*C5</f>
        <v>5356565</v>
      </c>
    </row>
    <row r="6" spans="1:4" ht="13.5" thickBot="1">
      <c r="A6" s="13" t="s">
        <v>59</v>
      </c>
      <c r="B6" s="4">
        <v>3</v>
      </c>
      <c r="C6" s="3">
        <f>2300000+349265/B6</f>
        <v>2416421.6666666665</v>
      </c>
      <c r="D6" s="98">
        <f aca="true" t="shared" si="0" ref="D6:D11">B6*C6</f>
        <v>7249265</v>
      </c>
    </row>
    <row r="7" spans="1:4" ht="13.5" thickBot="1">
      <c r="A7" s="13" t="s">
        <v>60</v>
      </c>
      <c r="B7" s="4">
        <v>5</v>
      </c>
      <c r="C7" s="3">
        <f>250000+58290/B7</f>
        <v>261658</v>
      </c>
      <c r="D7" s="98">
        <f t="shared" si="0"/>
        <v>1308290</v>
      </c>
    </row>
    <row r="8" spans="1:4" ht="13.5" thickBot="1">
      <c r="A8" s="13" t="s">
        <v>61</v>
      </c>
      <c r="B8" s="4">
        <v>3</v>
      </c>
      <c r="C8" s="3">
        <f>100000+10165/B8</f>
        <v>103388.33333333333</v>
      </c>
      <c r="D8" s="98">
        <f t="shared" si="0"/>
        <v>310165</v>
      </c>
    </row>
    <row r="9" spans="1:4" ht="13.5" thickBot="1">
      <c r="A9" s="13" t="s">
        <v>65</v>
      </c>
      <c r="B9" s="4">
        <v>3</v>
      </c>
      <c r="C9" s="3">
        <f>150000+17290/B9</f>
        <v>155763.33333333334</v>
      </c>
      <c r="D9" s="98">
        <f t="shared" si="0"/>
        <v>467290</v>
      </c>
    </row>
    <row r="10" spans="1:4" ht="13.5" thickBot="1">
      <c r="A10" s="13" t="s">
        <v>62</v>
      </c>
      <c r="B10" s="4">
        <v>3</v>
      </c>
      <c r="C10" s="3">
        <f>40000+2850/B10</f>
        <v>40950</v>
      </c>
      <c r="D10" s="98">
        <f t="shared" si="0"/>
        <v>122850</v>
      </c>
    </row>
    <row r="11" spans="1:4" ht="13.5" thickBot="1">
      <c r="A11" s="13" t="s">
        <v>63</v>
      </c>
      <c r="B11" s="7">
        <v>3</v>
      </c>
      <c r="C11" s="8">
        <f>850000+125240/B11</f>
        <v>891746.6666666666</v>
      </c>
      <c r="D11" s="98">
        <f t="shared" si="0"/>
        <v>2675240</v>
      </c>
    </row>
    <row r="12" spans="1:4" ht="13.5" thickBot="1">
      <c r="A12" s="18" t="s">
        <v>109</v>
      </c>
      <c r="D12" s="94">
        <f>AVERAGE(D5:D11)</f>
        <v>2498523.5714285714</v>
      </c>
    </row>
    <row r="13" ht="13.5" thickBot="1"/>
    <row r="14" spans="1:4" s="23" customFormat="1" ht="13.5" thickBot="1">
      <c r="A14" s="24" t="s">
        <v>70</v>
      </c>
      <c r="B14" s="24"/>
      <c r="C14" s="24"/>
      <c r="D14" s="20" t="s">
        <v>69</v>
      </c>
    </row>
    <row r="15" spans="1:4" s="23" customFormat="1" ht="13.5" thickBot="1">
      <c r="A15" s="24" t="s">
        <v>123</v>
      </c>
      <c r="B15" s="24"/>
      <c r="C15" s="24"/>
      <c r="D15" s="35">
        <v>41090</v>
      </c>
    </row>
    <row r="16" spans="1:4" s="23" customFormat="1" ht="13.5" thickBot="1">
      <c r="A16" s="24" t="s">
        <v>124</v>
      </c>
      <c r="B16" s="24"/>
      <c r="C16" s="24"/>
      <c r="D16" s="36">
        <v>42095</v>
      </c>
    </row>
    <row r="17" ht="13.5" thickBot="1"/>
    <row r="18" spans="1:4" ht="13.5" thickBot="1">
      <c r="A18" s="24" t="s">
        <v>71</v>
      </c>
      <c r="B18" s="18" t="s">
        <v>142</v>
      </c>
      <c r="C18" s="102">
        <f>ESCALATION_FACTORS!$B$4</f>
        <v>41455</v>
      </c>
      <c r="D18" s="111">
        <f>VLOOKUP($D$14,ESCALATION_FACTORS!$A$5:$E$9,2,)</f>
        <v>0.0325</v>
      </c>
    </row>
    <row r="19" spans="2:4" ht="13.5" thickBot="1">
      <c r="B19" s="18"/>
      <c r="C19" s="102">
        <f>ESCALATION_FACTORS!$C$4</f>
        <v>41820</v>
      </c>
      <c r="D19" s="111">
        <f>VLOOKUP($D$14,ESCALATION_FACTORS!$A$5:$E$9,3,)</f>
        <v>0.025</v>
      </c>
    </row>
    <row r="20" spans="2:4" ht="13.5" thickBot="1">
      <c r="B20" s="18"/>
      <c r="C20" s="102">
        <f>ESCALATION_FACTORS!$D$4</f>
        <v>42185</v>
      </c>
      <c r="D20" s="111">
        <f>VLOOKUP($D$14,ESCALATION_FACTORS!$A$5:$E$9,4,)</f>
        <v>0.025</v>
      </c>
    </row>
    <row r="21" ht="13.5" thickBot="1">
      <c r="F21" s="70"/>
    </row>
    <row r="22" spans="1:4" ht="13.5" thickBot="1">
      <c r="A22" s="18" t="s">
        <v>102</v>
      </c>
      <c r="D22" s="94">
        <f>D12*IF(D15&lt;=C18,(1+D18)^((MIN(D16,C18)-MAX(D15,DATE(YEAR(C18)-1,6,30)))/(C18-DATE(YEAR(C18)-1,6,30))),1)*IF(AND(D15&lt;=C19,D16&gt;=C18),(1+D19)^((MIN(D16,C19)-MAX(D15,C18))/(C19-C18)),1)*IF(D16&gt;=C19,(1+D20)^((D16-MAX(D15,C19))/(C20-C19)),1)</f>
        <v>2693872.2794891708</v>
      </c>
    </row>
    <row r="23" ht="12.75">
      <c r="F23" s="70"/>
    </row>
  </sheetData>
  <sheetProtection password="88A8" sheet="1" formatCells="0" formatColumns="0" formatRows="0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57421875" style="13" customWidth="1"/>
    <col min="2" max="5" width="10.140625" style="13" customWidth="1"/>
    <col min="6" max="16384" width="9.140625" style="13" customWidth="1"/>
  </cols>
  <sheetData>
    <row r="1" spans="1:5" ht="18.75" thickBot="1">
      <c r="A1" s="119" t="s">
        <v>68</v>
      </c>
      <c r="B1" s="121"/>
      <c r="C1" s="121"/>
      <c r="D1" s="121"/>
      <c r="E1" s="120"/>
    </row>
    <row r="2" ht="12.75"/>
    <row r="3" spans="2:5" ht="13.5" thickBot="1">
      <c r="B3" s="122" t="s">
        <v>141</v>
      </c>
      <c r="C3" s="122"/>
      <c r="D3" s="122"/>
      <c r="E3" s="122"/>
    </row>
    <row r="4" spans="2:5" ht="13.5" thickBot="1">
      <c r="B4" s="99">
        <v>41455</v>
      </c>
      <c r="C4" s="100">
        <v>41820</v>
      </c>
      <c r="D4" s="100">
        <v>42185</v>
      </c>
      <c r="E4" s="101">
        <v>42551</v>
      </c>
    </row>
    <row r="5" spans="1:5" ht="18" customHeight="1">
      <c r="A5" s="83" t="s">
        <v>90</v>
      </c>
      <c r="B5" s="112">
        <v>0.0162</v>
      </c>
      <c r="C5" s="113">
        <v>0.0439</v>
      </c>
      <c r="D5" s="113">
        <v>0.0333</v>
      </c>
      <c r="E5" s="114">
        <v>0.0285</v>
      </c>
    </row>
    <row r="6" spans="1:5" ht="18" customHeight="1">
      <c r="A6" s="83" t="s">
        <v>115</v>
      </c>
      <c r="B6" s="115">
        <v>0.0379</v>
      </c>
      <c r="C6" s="116">
        <v>0.036</v>
      </c>
      <c r="D6" s="116">
        <v>0.0361</v>
      </c>
      <c r="E6" s="117">
        <v>0.0362</v>
      </c>
    </row>
    <row r="7" spans="1:5" ht="18" customHeight="1">
      <c r="A7" s="83" t="s">
        <v>139</v>
      </c>
      <c r="B7" s="115">
        <v>0.0432</v>
      </c>
      <c r="C7" s="116">
        <v>0.0432</v>
      </c>
      <c r="D7" s="116">
        <v>0.0432</v>
      </c>
      <c r="E7" s="117">
        <v>0.0432</v>
      </c>
    </row>
    <row r="8" spans="1:5" ht="18" customHeight="1">
      <c r="A8" s="83" t="s">
        <v>69</v>
      </c>
      <c r="B8" s="115">
        <v>0.0325</v>
      </c>
      <c r="C8" s="116">
        <v>0.025</v>
      </c>
      <c r="D8" s="116">
        <v>0.025</v>
      </c>
      <c r="E8" s="117">
        <v>0.025</v>
      </c>
    </row>
    <row r="9" spans="1:5" ht="18" customHeight="1">
      <c r="A9" s="83" t="s">
        <v>140</v>
      </c>
      <c r="B9" s="115">
        <v>-0.0291</v>
      </c>
      <c r="C9" s="116">
        <v>-0.0291</v>
      </c>
      <c r="D9" s="116">
        <v>-0.0291</v>
      </c>
      <c r="E9" s="117">
        <v>-0.0291</v>
      </c>
    </row>
    <row r="10" ht="12.75"/>
    <row r="11" ht="12.75"/>
  </sheetData>
  <sheetProtection password="88A8" sheet="1" formatCells="0" formatColumns="0" formatRows="0"/>
  <mergeCells count="2">
    <mergeCell ref="B3:E3"/>
    <mergeCell ref="A1:E1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A1" sqref="A1"/>
    </sheetView>
  </sheetViews>
  <sheetFormatPr defaultColWidth="82.421875" defaultRowHeight="12.75"/>
  <cols>
    <col min="1" max="1" width="136.00390625" style="81" customWidth="1"/>
    <col min="2" max="2" width="24.7109375" style="18" customWidth="1"/>
    <col min="3" max="3" width="21.28125" style="82" bestFit="1" customWidth="1"/>
    <col min="4" max="4" width="31.00390625" style="70" customWidth="1"/>
    <col min="5" max="5" width="16.00390625" style="70" customWidth="1"/>
    <col min="6" max="16384" width="82.421875" style="70" customWidth="1"/>
  </cols>
  <sheetData>
    <row r="1" spans="1:6" s="12" customFormat="1" ht="18.75" thickBot="1">
      <c r="A1" s="64" t="s">
        <v>1</v>
      </c>
      <c r="B1" s="51"/>
      <c r="C1" s="52"/>
      <c r="D1" s="65"/>
      <c r="E1" s="66"/>
      <c r="F1" s="66"/>
    </row>
    <row r="2" spans="1:6" ht="13.5" thickBot="1">
      <c r="A2" s="67"/>
      <c r="B2" s="68"/>
      <c r="C2" s="69"/>
      <c r="D2" s="27"/>
      <c r="E2" s="27"/>
      <c r="F2" s="27"/>
    </row>
    <row r="3" spans="1:6" ht="13.5" thickBot="1">
      <c r="A3" s="71" t="s">
        <v>100</v>
      </c>
      <c r="B3" s="40">
        <f>B10+B13/B16</f>
        <v>157044.4729875879</v>
      </c>
      <c r="C3" s="72" t="s">
        <v>25</v>
      </c>
      <c r="D3" s="27"/>
      <c r="E3" s="27"/>
      <c r="F3" s="27"/>
    </row>
    <row r="4" spans="1:6" ht="12.75">
      <c r="A4" s="71"/>
      <c r="B4" s="73"/>
      <c r="C4" s="72"/>
      <c r="D4" s="27"/>
      <c r="E4" s="27"/>
      <c r="F4" s="27"/>
    </row>
    <row r="5" spans="1:6" ht="12.75">
      <c r="A5" s="71" t="s">
        <v>0</v>
      </c>
      <c r="B5" s="73"/>
      <c r="C5" s="72"/>
      <c r="D5" s="27"/>
      <c r="E5" s="27"/>
      <c r="F5" s="27"/>
    </row>
    <row r="6" spans="1:6" ht="12.75">
      <c r="A6" s="74"/>
      <c r="B6" s="73"/>
      <c r="C6" s="72"/>
      <c r="D6" s="27"/>
      <c r="E6" s="27"/>
      <c r="F6" s="27"/>
    </row>
    <row r="7" spans="1:6" ht="12.75">
      <c r="A7" s="71" t="s">
        <v>91</v>
      </c>
      <c r="B7" s="73"/>
      <c r="C7" s="72"/>
      <c r="D7" s="27"/>
      <c r="E7" s="27"/>
      <c r="F7" s="27"/>
    </row>
    <row r="8" spans="1:6" ht="12.75">
      <c r="A8" s="74" t="s">
        <v>92</v>
      </c>
      <c r="B8" s="73"/>
      <c r="C8" s="72"/>
      <c r="D8" s="27"/>
      <c r="E8" s="27"/>
      <c r="F8" s="27"/>
    </row>
    <row r="9" spans="1:6" ht="13.5" thickBot="1">
      <c r="A9" s="74"/>
      <c r="B9" s="73"/>
      <c r="C9" s="72"/>
      <c r="D9" s="27"/>
      <c r="E9" s="27"/>
      <c r="F9" s="27"/>
    </row>
    <row r="10" spans="1:6" ht="13.5" thickBot="1">
      <c r="A10" s="71" t="s">
        <v>93</v>
      </c>
      <c r="B10" s="40">
        <f>'ANNUALISED_FIXED_O&amp;M'!C142</f>
        <v>34238.67149084638</v>
      </c>
      <c r="C10" s="72" t="s">
        <v>25</v>
      </c>
      <c r="D10" s="27"/>
      <c r="E10" s="27"/>
      <c r="F10" s="27"/>
    </row>
    <row r="11" spans="1:6" ht="25.5">
      <c r="A11" s="74" t="s">
        <v>94</v>
      </c>
      <c r="B11" s="73"/>
      <c r="C11" s="72"/>
      <c r="D11" s="27"/>
      <c r="E11" s="27"/>
      <c r="F11" s="27"/>
    </row>
    <row r="12" spans="1:6" ht="13.5" thickBot="1">
      <c r="A12" s="74"/>
      <c r="B12" s="73"/>
      <c r="C12" s="72"/>
      <c r="D12" s="27"/>
      <c r="E12" s="27"/>
      <c r="F12" s="27"/>
    </row>
    <row r="13" spans="1:6" ht="13.5" thickBot="1">
      <c r="A13" s="71" t="s">
        <v>95</v>
      </c>
      <c r="B13" s="40">
        <f>ANNUALISED_CAP_COST!B28</f>
        <v>19599805.91887995</v>
      </c>
      <c r="C13" s="72" t="s">
        <v>24</v>
      </c>
      <c r="D13" s="27"/>
      <c r="E13" s="27"/>
      <c r="F13" s="27"/>
    </row>
    <row r="14" spans="1:6" ht="25.5">
      <c r="A14" s="74" t="s">
        <v>96</v>
      </c>
      <c r="B14" s="75"/>
      <c r="C14" s="72"/>
      <c r="D14" s="27"/>
      <c r="E14" s="76"/>
      <c r="F14" s="27"/>
    </row>
    <row r="15" spans="1:6" ht="13.5" thickBot="1">
      <c r="A15" s="74"/>
      <c r="B15" s="75"/>
      <c r="C15" s="72"/>
      <c r="D15" s="27"/>
      <c r="E15" s="76"/>
      <c r="F15" s="27"/>
    </row>
    <row r="16" spans="1:6" ht="13.5" thickBot="1">
      <c r="A16" s="71" t="s">
        <v>97</v>
      </c>
      <c r="B16" s="63">
        <f>PC!C4</f>
        <v>159.6</v>
      </c>
      <c r="C16" s="72" t="s">
        <v>19</v>
      </c>
      <c r="D16" s="77"/>
      <c r="E16" s="76"/>
      <c r="F16" s="27"/>
    </row>
    <row r="17" spans="1:6" ht="12.75">
      <c r="A17" s="74" t="s">
        <v>122</v>
      </c>
      <c r="B17" s="75"/>
      <c r="C17" s="72"/>
      <c r="D17" s="27"/>
      <c r="E17" s="76"/>
      <c r="F17" s="27"/>
    </row>
    <row r="18" spans="1:3" ht="13.5" thickBot="1">
      <c r="A18" s="78"/>
      <c r="B18" s="79"/>
      <c r="C18" s="80"/>
    </row>
  </sheetData>
  <sheetProtection password="88A8" sheet="1" formatCells="0" formatColumns="0" formatRows="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2.7109375" style="23" customWidth="1"/>
    <col min="2" max="2" width="14.8515625" style="28" bestFit="1" customWidth="1"/>
    <col min="3" max="3" width="19.140625" style="53" customWidth="1"/>
    <col min="4" max="16384" width="9.140625" style="23" customWidth="1"/>
  </cols>
  <sheetData>
    <row r="1" spans="1:3" s="12" customFormat="1" ht="18.75" thickBot="1">
      <c r="A1" s="10" t="s">
        <v>95</v>
      </c>
      <c r="B1" s="51"/>
      <c r="C1" s="52"/>
    </row>
    <row r="2" ht="12.75">
      <c r="A2" s="30"/>
    </row>
    <row r="3" spans="1:3" ht="12.75">
      <c r="A3" s="28" t="s">
        <v>98</v>
      </c>
      <c r="B3" s="47">
        <f>PC!C16</f>
        <v>829446.746731894</v>
      </c>
      <c r="C3" s="53" t="s">
        <v>22</v>
      </c>
    </row>
    <row r="4" ht="25.5">
      <c r="A4" s="54" t="s">
        <v>129</v>
      </c>
    </row>
    <row r="5" ht="12.75">
      <c r="A5" s="30"/>
    </row>
    <row r="6" spans="1:3" ht="12.75">
      <c r="A6" s="28" t="s">
        <v>17</v>
      </c>
      <c r="B6" s="55">
        <f>M!B3</f>
        <v>0.1887</v>
      </c>
      <c r="C6" s="53" t="s">
        <v>18</v>
      </c>
    </row>
    <row r="7" ht="12.75">
      <c r="A7" s="54" t="s">
        <v>128</v>
      </c>
    </row>
    <row r="8" ht="12.75">
      <c r="A8" s="54"/>
    </row>
    <row r="9" spans="1:3" ht="12.75">
      <c r="A9" s="28" t="s">
        <v>97</v>
      </c>
      <c r="B9" s="56">
        <f>PC!C4</f>
        <v>159.6</v>
      </c>
      <c r="C9" s="53" t="s">
        <v>19</v>
      </c>
    </row>
    <row r="10" ht="25.5">
      <c r="A10" s="54" t="s">
        <v>130</v>
      </c>
    </row>
    <row r="11" ht="12.75">
      <c r="A11" s="30"/>
    </row>
    <row r="12" spans="1:3" ht="12.75">
      <c r="A12" s="28" t="s">
        <v>99</v>
      </c>
      <c r="B12" s="47">
        <f>TC!B11</f>
        <v>115124</v>
      </c>
      <c r="C12" s="53" t="s">
        <v>23</v>
      </c>
    </row>
    <row r="13" ht="25.5">
      <c r="A13" s="54" t="s">
        <v>131</v>
      </c>
    </row>
    <row r="14" ht="12.75">
      <c r="A14" s="30"/>
    </row>
    <row r="15" spans="1:3" ht="12.75">
      <c r="A15" s="28" t="s">
        <v>101</v>
      </c>
      <c r="B15" s="47">
        <f>FFC!C18</f>
        <v>7069232.081568794</v>
      </c>
      <c r="C15" s="53" t="s">
        <v>23</v>
      </c>
    </row>
    <row r="16" ht="12.75">
      <c r="A16" s="54" t="s">
        <v>132</v>
      </c>
    </row>
    <row r="17" ht="12.75">
      <c r="A17" s="30"/>
    </row>
    <row r="18" spans="1:3" ht="12.75">
      <c r="A18" s="28" t="s">
        <v>102</v>
      </c>
      <c r="B18" s="47">
        <f>LC!D22</f>
        <v>2693872.2794891708</v>
      </c>
      <c r="C18" s="53" t="s">
        <v>23</v>
      </c>
    </row>
    <row r="19" ht="12.75">
      <c r="A19" s="30" t="s">
        <v>133</v>
      </c>
    </row>
    <row r="20" ht="12.75">
      <c r="A20" s="30"/>
    </row>
    <row r="21" spans="1:3" ht="12.75">
      <c r="A21" s="28" t="s">
        <v>15</v>
      </c>
      <c r="B21" s="57">
        <f>WACC!B21</f>
        <v>0.05953447999320671</v>
      </c>
      <c r="C21" s="53" t="s">
        <v>18</v>
      </c>
    </row>
    <row r="22" ht="12.75">
      <c r="A22" s="30" t="s">
        <v>134</v>
      </c>
    </row>
    <row r="23" ht="12.75">
      <c r="A23" s="30"/>
    </row>
    <row r="24" spans="1:3" ht="12.75">
      <c r="A24" s="28" t="s">
        <v>103</v>
      </c>
      <c r="B24" s="47">
        <f>(B3*(1+B6)*B9+B12*B9+B15+B18)*(1+B21)^0.5</f>
        <v>190938543.97229707</v>
      </c>
      <c r="C24" s="53" t="s">
        <v>23</v>
      </c>
    </row>
    <row r="25" spans="1:3" ht="12.75">
      <c r="A25" s="58"/>
      <c r="B25" s="59"/>
      <c r="C25" s="60"/>
    </row>
    <row r="26" spans="1:3" ht="13.5" thickBot="1">
      <c r="A26" s="28" t="s">
        <v>15</v>
      </c>
      <c r="B26" s="57">
        <f>WACC!B21</f>
        <v>0.05953447999320671</v>
      </c>
      <c r="C26" s="53" t="s">
        <v>18</v>
      </c>
    </row>
    <row r="27" spans="1:3" ht="13.5" thickBot="1">
      <c r="A27" s="28" t="s">
        <v>16</v>
      </c>
      <c r="B27" s="63">
        <v>15</v>
      </c>
      <c r="C27" s="53" t="s">
        <v>20</v>
      </c>
    </row>
    <row r="28" spans="1:3" ht="12.75">
      <c r="A28" s="28" t="s">
        <v>95</v>
      </c>
      <c r="B28" s="61">
        <f>-PMT(B26,B27,B24)</f>
        <v>19599805.91887995</v>
      </c>
      <c r="C28" s="53" t="s">
        <v>24</v>
      </c>
    </row>
    <row r="29" ht="12.75">
      <c r="A29" s="30"/>
    </row>
    <row r="30" ht="12.75">
      <c r="A30" s="62" t="s">
        <v>104</v>
      </c>
    </row>
    <row r="31" ht="12.75">
      <c r="A31" s="62" t="s">
        <v>127</v>
      </c>
    </row>
    <row r="32" ht="12.75"/>
    <row r="33" ht="12.75"/>
    <row r="34" ht="12.75"/>
    <row r="35" ht="12.75"/>
    <row r="36" ht="12.75"/>
    <row r="37" ht="12.75">
      <c r="A37" s="23" t="s">
        <v>108</v>
      </c>
    </row>
  </sheetData>
  <sheetProtection password="88A8" sheet="1" formatCells="0" formatColumns="0" formatRows="0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4.57421875" style="13" bestFit="1" customWidth="1"/>
    <col min="2" max="2" width="23.28125" style="13" customWidth="1"/>
    <col min="3" max="3" width="20.140625" style="13" customWidth="1"/>
    <col min="4" max="4" width="15.8515625" style="13" bestFit="1" customWidth="1"/>
    <col min="5" max="5" width="16.28125" style="13" bestFit="1" customWidth="1"/>
    <col min="6" max="9" width="15.8515625" style="13" bestFit="1" customWidth="1"/>
    <col min="10" max="10" width="16.28125" style="13" bestFit="1" customWidth="1"/>
    <col min="11" max="11" width="15.8515625" style="13" bestFit="1" customWidth="1"/>
    <col min="12" max="12" width="16.28125" style="13" bestFit="1" customWidth="1"/>
    <col min="13" max="15" width="15.8515625" style="13" bestFit="1" customWidth="1"/>
    <col min="16" max="16" width="15.421875" style="13" bestFit="1" customWidth="1"/>
    <col min="17" max="17" width="15.8515625" style="13" bestFit="1" customWidth="1"/>
    <col min="18" max="18" width="13.00390625" style="13" bestFit="1" customWidth="1"/>
    <col min="19" max="19" width="15.8515625" style="13" bestFit="1" customWidth="1"/>
    <col min="20" max="16384" width="9.140625" style="13" customWidth="1"/>
  </cols>
  <sheetData>
    <row r="1" spans="1:3" s="12" customFormat="1" ht="18.75" thickBot="1">
      <c r="A1" s="10" t="s">
        <v>93</v>
      </c>
      <c r="B1" s="51"/>
      <c r="C1" s="11"/>
    </row>
    <row r="2" ht="13.5" thickBot="1"/>
    <row r="3" spans="1:3" ht="18.75" customHeight="1" thickBot="1">
      <c r="A3" s="10" t="s">
        <v>35</v>
      </c>
      <c r="B3" s="51"/>
      <c r="C3" s="14"/>
    </row>
    <row r="4" ht="13.5" customHeight="1" thickBot="1"/>
    <row r="5" spans="1:3" ht="13.5" thickBot="1">
      <c r="A5" s="41" t="s">
        <v>77</v>
      </c>
      <c r="B5" s="105"/>
      <c r="C5" s="42"/>
    </row>
    <row r="6" spans="1:3" ht="13.5" thickBot="1">
      <c r="A6" s="15" t="s">
        <v>39</v>
      </c>
      <c r="B6" s="106"/>
      <c r="C6" s="3">
        <v>10463467</v>
      </c>
    </row>
    <row r="7" spans="1:3" ht="13.5" thickBot="1">
      <c r="A7" s="16" t="s">
        <v>37</v>
      </c>
      <c r="B7" s="107"/>
      <c r="C7" s="3">
        <v>10463467</v>
      </c>
    </row>
    <row r="8" spans="1:3" ht="13.5" thickBot="1">
      <c r="A8" s="16" t="s">
        <v>38</v>
      </c>
      <c r="B8" s="107"/>
      <c r="C8" s="3">
        <v>10463467</v>
      </c>
    </row>
    <row r="9" spans="1:3" ht="13.5" thickBot="1">
      <c r="A9" s="32" t="s">
        <v>110</v>
      </c>
      <c r="B9" s="69"/>
      <c r="C9" s="3">
        <v>10463467</v>
      </c>
    </row>
    <row r="10" spans="1:3" ht="13.5" thickBot="1">
      <c r="A10" s="16" t="s">
        <v>40</v>
      </c>
      <c r="B10" s="107"/>
      <c r="C10" s="3">
        <v>10463467</v>
      </c>
    </row>
    <row r="11" spans="1:3" ht="13.5" thickBot="1">
      <c r="A11" s="29" t="s">
        <v>41</v>
      </c>
      <c r="B11" s="107"/>
      <c r="C11" s="3">
        <v>10463467</v>
      </c>
    </row>
    <row r="12" spans="1:3" ht="13.5" thickBot="1">
      <c r="A12" s="16" t="s">
        <v>42</v>
      </c>
      <c r="B12" s="107"/>
      <c r="C12" s="3">
        <v>10463467</v>
      </c>
    </row>
    <row r="13" spans="1:3" ht="13.5" thickBot="1">
      <c r="A13" s="16" t="s">
        <v>43</v>
      </c>
      <c r="B13" s="107"/>
      <c r="C13" s="3">
        <v>10463467</v>
      </c>
    </row>
    <row r="14" spans="1:3" ht="13.5" thickBot="1">
      <c r="A14" s="16" t="s">
        <v>44</v>
      </c>
      <c r="B14" s="107"/>
      <c r="C14" s="3">
        <v>10463467</v>
      </c>
    </row>
    <row r="15" spans="1:3" ht="13.5" thickBot="1">
      <c r="A15" s="17" t="s">
        <v>45</v>
      </c>
      <c r="B15" s="108"/>
      <c r="C15" s="3">
        <v>10463467</v>
      </c>
    </row>
    <row r="16" ht="13.5" thickBot="1"/>
    <row r="17" spans="1:17" ht="13.5" thickBot="1">
      <c r="A17" s="18" t="s">
        <v>46</v>
      </c>
      <c r="B17" s="18"/>
      <c r="C17" s="19">
        <v>1</v>
      </c>
      <c r="D17" s="43">
        <f>C17+1</f>
        <v>2</v>
      </c>
      <c r="E17" s="43">
        <f aca="true" t="shared" si="0" ref="E17:Q17">D17+1</f>
        <v>3</v>
      </c>
      <c r="F17" s="43">
        <f t="shared" si="0"/>
        <v>4</v>
      </c>
      <c r="G17" s="43">
        <f t="shared" si="0"/>
        <v>5</v>
      </c>
      <c r="H17" s="43">
        <f t="shared" si="0"/>
        <v>6</v>
      </c>
      <c r="I17" s="43">
        <f t="shared" si="0"/>
        <v>7</v>
      </c>
      <c r="J17" s="43">
        <f t="shared" si="0"/>
        <v>8</v>
      </c>
      <c r="K17" s="43">
        <f t="shared" si="0"/>
        <v>9</v>
      </c>
      <c r="L17" s="43">
        <f t="shared" si="0"/>
        <v>10</v>
      </c>
      <c r="M17" s="43">
        <f t="shared" si="0"/>
        <v>11</v>
      </c>
      <c r="N17" s="43">
        <f t="shared" si="0"/>
        <v>12</v>
      </c>
      <c r="O17" s="43">
        <f t="shared" si="0"/>
        <v>13</v>
      </c>
      <c r="P17" s="43">
        <f t="shared" si="0"/>
        <v>14</v>
      </c>
      <c r="Q17" s="43">
        <f t="shared" si="0"/>
        <v>15</v>
      </c>
    </row>
    <row r="18" spans="1:17" ht="13.5" thickBot="1">
      <c r="A18" s="18" t="s">
        <v>47</v>
      </c>
      <c r="B18" s="18"/>
      <c r="C18" s="19">
        <v>5</v>
      </c>
      <c r="D18" s="43">
        <f>C18</f>
        <v>5</v>
      </c>
      <c r="E18" s="43">
        <f aca="true" t="shared" si="1" ref="E18:Q19">D18</f>
        <v>5</v>
      </c>
      <c r="F18" s="43">
        <f t="shared" si="1"/>
        <v>5</v>
      </c>
      <c r="G18" s="43">
        <f t="shared" si="1"/>
        <v>5</v>
      </c>
      <c r="H18" s="43">
        <f t="shared" si="1"/>
        <v>5</v>
      </c>
      <c r="I18" s="43">
        <f t="shared" si="1"/>
        <v>5</v>
      </c>
      <c r="J18" s="43">
        <f t="shared" si="1"/>
        <v>5</v>
      </c>
      <c r="K18" s="43">
        <f t="shared" si="1"/>
        <v>5</v>
      </c>
      <c r="L18" s="43">
        <f t="shared" si="1"/>
        <v>5</v>
      </c>
      <c r="M18" s="43">
        <f t="shared" si="1"/>
        <v>5</v>
      </c>
      <c r="N18" s="43">
        <f t="shared" si="1"/>
        <v>5</v>
      </c>
      <c r="O18" s="43">
        <f t="shared" si="1"/>
        <v>5</v>
      </c>
      <c r="P18" s="43">
        <f t="shared" si="1"/>
        <v>5</v>
      </c>
      <c r="Q18" s="43">
        <f t="shared" si="1"/>
        <v>5</v>
      </c>
    </row>
    <row r="19" spans="1:17" ht="13.5" thickBot="1">
      <c r="A19" s="18" t="s">
        <v>51</v>
      </c>
      <c r="B19" s="18"/>
      <c r="C19" s="45">
        <f>C6</f>
        <v>10463467</v>
      </c>
      <c r="D19" s="44">
        <f>C19</f>
        <v>10463467</v>
      </c>
      <c r="E19" s="44">
        <f>D19</f>
        <v>10463467</v>
      </c>
      <c r="F19" s="44">
        <f>E19</f>
        <v>10463467</v>
      </c>
      <c r="G19" s="44">
        <f>F19</f>
        <v>10463467</v>
      </c>
      <c r="H19" s="45">
        <f>C7</f>
        <v>10463467</v>
      </c>
      <c r="I19" s="44">
        <f>H19</f>
        <v>10463467</v>
      </c>
      <c r="J19" s="44">
        <f t="shared" si="1"/>
        <v>10463467</v>
      </c>
      <c r="K19" s="44">
        <f t="shared" si="1"/>
        <v>10463467</v>
      </c>
      <c r="L19" s="44">
        <f t="shared" si="1"/>
        <v>10463467</v>
      </c>
      <c r="M19" s="45">
        <f>C8</f>
        <v>10463467</v>
      </c>
      <c r="N19" s="44">
        <f>M19</f>
        <v>10463467</v>
      </c>
      <c r="O19" s="44">
        <f t="shared" si="1"/>
        <v>10463467</v>
      </c>
      <c r="P19" s="44">
        <f t="shared" si="1"/>
        <v>10463467</v>
      </c>
      <c r="Q19" s="44">
        <f t="shared" si="1"/>
        <v>10463467</v>
      </c>
    </row>
    <row r="20" spans="1:17" ht="12.75">
      <c r="A20" s="18" t="s">
        <v>48</v>
      </c>
      <c r="B20" s="18"/>
      <c r="C20" s="44">
        <f>C19/C18</f>
        <v>2092693.4</v>
      </c>
      <c r="D20" s="44">
        <f aca="true" t="shared" si="2" ref="D20:Q20">D19/D18</f>
        <v>2092693.4</v>
      </c>
      <c r="E20" s="44">
        <f t="shared" si="2"/>
        <v>2092693.4</v>
      </c>
      <c r="F20" s="44">
        <f t="shared" si="2"/>
        <v>2092693.4</v>
      </c>
      <c r="G20" s="44">
        <f t="shared" si="2"/>
        <v>2092693.4</v>
      </c>
      <c r="H20" s="44">
        <f t="shared" si="2"/>
        <v>2092693.4</v>
      </c>
      <c r="I20" s="44">
        <f t="shared" si="2"/>
        <v>2092693.4</v>
      </c>
      <c r="J20" s="44">
        <f t="shared" si="2"/>
        <v>2092693.4</v>
      </c>
      <c r="K20" s="44">
        <f t="shared" si="2"/>
        <v>2092693.4</v>
      </c>
      <c r="L20" s="44">
        <f t="shared" si="2"/>
        <v>2092693.4</v>
      </c>
      <c r="M20" s="44">
        <f t="shared" si="2"/>
        <v>2092693.4</v>
      </c>
      <c r="N20" s="44">
        <f t="shared" si="2"/>
        <v>2092693.4</v>
      </c>
      <c r="O20" s="44">
        <f t="shared" si="2"/>
        <v>2092693.4</v>
      </c>
      <c r="P20" s="44">
        <f t="shared" si="2"/>
        <v>2092693.4</v>
      </c>
      <c r="Q20" s="44">
        <f t="shared" si="2"/>
        <v>2092693.4</v>
      </c>
    </row>
    <row r="21" spans="1:17" ht="12.75">
      <c r="A21" s="18" t="s">
        <v>15</v>
      </c>
      <c r="B21" s="18"/>
      <c r="C21" s="46">
        <f>WACC!B21</f>
        <v>0.05953447999320671</v>
      </c>
      <c r="D21" s="46">
        <f>C21</f>
        <v>0.05953447999320671</v>
      </c>
      <c r="E21" s="46">
        <f aca="true" t="shared" si="3" ref="E21:Q21">D21</f>
        <v>0.05953447999320671</v>
      </c>
      <c r="F21" s="46">
        <f t="shared" si="3"/>
        <v>0.05953447999320671</v>
      </c>
      <c r="G21" s="46">
        <f t="shared" si="3"/>
        <v>0.05953447999320671</v>
      </c>
      <c r="H21" s="46">
        <f t="shared" si="3"/>
        <v>0.05953447999320671</v>
      </c>
      <c r="I21" s="46">
        <f t="shared" si="3"/>
        <v>0.05953447999320671</v>
      </c>
      <c r="J21" s="46">
        <f t="shared" si="3"/>
        <v>0.05953447999320671</v>
      </c>
      <c r="K21" s="46">
        <f t="shared" si="3"/>
        <v>0.05953447999320671</v>
      </c>
      <c r="L21" s="46">
        <f t="shared" si="3"/>
        <v>0.05953447999320671</v>
      </c>
      <c r="M21" s="46">
        <f t="shared" si="3"/>
        <v>0.05953447999320671</v>
      </c>
      <c r="N21" s="46">
        <f t="shared" si="3"/>
        <v>0.05953447999320671</v>
      </c>
      <c r="O21" s="46">
        <f t="shared" si="3"/>
        <v>0.05953447999320671</v>
      </c>
      <c r="P21" s="46">
        <f t="shared" si="3"/>
        <v>0.05953447999320671</v>
      </c>
      <c r="Q21" s="46">
        <f t="shared" si="3"/>
        <v>0.05953447999320671</v>
      </c>
    </row>
    <row r="22" spans="1:17" ht="12.75">
      <c r="A22" s="18" t="s">
        <v>49</v>
      </c>
      <c r="B22" s="18"/>
      <c r="C22" s="43">
        <f>C20/(1+C21)^C17</f>
        <v>1975106.4637494548</v>
      </c>
      <c r="D22" s="43">
        <f>D20/(1+D21)^D17</f>
        <v>1864126.6528316457</v>
      </c>
      <c r="E22" s="43">
        <f>E20/(1+E21)^E17</f>
        <v>1759382.7176285924</v>
      </c>
      <c r="F22" s="43">
        <f>F20/(1+F21)^F17</f>
        <v>1660524.2687711993</v>
      </c>
      <c r="G22" s="43">
        <f aca="true" t="shared" si="4" ref="G22:Q22">G20/(1+G21)^G17</f>
        <v>1567220.6050168804</v>
      </c>
      <c r="H22" s="43">
        <f t="shared" si="4"/>
        <v>1479159.6069878999</v>
      </c>
      <c r="I22" s="43">
        <f t="shared" si="4"/>
        <v>1396046.693069756</v>
      </c>
      <c r="J22" s="43">
        <f t="shared" si="4"/>
        <v>1317603.8339768865</v>
      </c>
      <c r="K22" s="43">
        <f t="shared" si="4"/>
        <v>1243568.6226892157</v>
      </c>
      <c r="L22" s="43">
        <f t="shared" si="4"/>
        <v>1173693.3966482987</v>
      </c>
      <c r="M22" s="43">
        <f t="shared" si="4"/>
        <v>1107744.4092766326</v>
      </c>
      <c r="N22" s="43">
        <f t="shared" si="4"/>
        <v>1045501.0480487004</v>
      </c>
      <c r="O22" s="43">
        <f t="shared" si="4"/>
        <v>986755.0964980429</v>
      </c>
      <c r="P22" s="43">
        <f t="shared" si="4"/>
        <v>931310.0376916185</v>
      </c>
      <c r="Q22" s="43">
        <f t="shared" si="4"/>
        <v>878980.3968414409</v>
      </c>
    </row>
    <row r="23" spans="1:4" ht="12.75">
      <c r="A23" s="18" t="s">
        <v>50</v>
      </c>
      <c r="B23" s="18"/>
      <c r="C23" s="47">
        <f>SUM(C22:Q22)</f>
        <v>20386723.849726263</v>
      </c>
      <c r="D23" s="50"/>
    </row>
    <row r="24" spans="1:4" ht="12.75">
      <c r="A24" s="18" t="s">
        <v>53</v>
      </c>
      <c r="B24" s="18"/>
      <c r="C24" s="47">
        <f>-PMT(C21,ANNUALISED_CAP_COST!$B$27,C23)</f>
        <v>2092693.3999999994</v>
      </c>
      <c r="D24" s="50"/>
    </row>
    <row r="25" spans="1:3" ht="13.5" thickBot="1">
      <c r="A25" s="18" t="s">
        <v>70</v>
      </c>
      <c r="B25" s="18"/>
      <c r="C25" s="83" t="s">
        <v>115</v>
      </c>
    </row>
    <row r="26" spans="1:3" s="23" customFormat="1" ht="13.5" thickBot="1">
      <c r="A26" s="24" t="s">
        <v>123</v>
      </c>
      <c r="B26" s="24"/>
      <c r="C26" s="35">
        <v>41090</v>
      </c>
    </row>
    <row r="27" spans="1:3" s="23" customFormat="1" ht="13.5" thickBot="1">
      <c r="A27" s="24" t="s">
        <v>124</v>
      </c>
      <c r="B27" s="24"/>
      <c r="C27" s="36">
        <v>42278</v>
      </c>
    </row>
    <row r="28" spans="4:5" ht="13.5" thickBot="1">
      <c r="D28" s="24"/>
      <c r="E28" s="24"/>
    </row>
    <row r="29" spans="1:3" ht="13.5" thickBot="1">
      <c r="A29" s="18" t="s">
        <v>143</v>
      </c>
      <c r="B29" s="102">
        <f>ESCALATION_FACTORS!$B$4</f>
        <v>41455</v>
      </c>
      <c r="C29" s="111">
        <f>VLOOKUP($C$25,ESCALATION_FACTORS!$A$5:$E$9,2,)</f>
        <v>0.0379</v>
      </c>
    </row>
    <row r="30" spans="1:3" ht="13.5" thickBot="1">
      <c r="A30" s="24"/>
      <c r="B30" s="102">
        <f>ESCALATION_FACTORS!$C$4</f>
        <v>41820</v>
      </c>
      <c r="C30" s="111">
        <f>VLOOKUP($C$25,ESCALATION_FACTORS!$A$5:$E$9,3,)</f>
        <v>0.036</v>
      </c>
    </row>
    <row r="31" spans="1:3" ht="13.5" thickBot="1">
      <c r="A31" s="24"/>
      <c r="B31" s="102">
        <f>ESCALATION_FACTORS!$D$4</f>
        <v>42185</v>
      </c>
      <c r="C31" s="111">
        <f>VLOOKUP($C$25,ESCALATION_FACTORS!$A$5:$E$9,4,)</f>
        <v>0.0361</v>
      </c>
    </row>
    <row r="32" spans="2:3" ht="13.5" thickBot="1">
      <c r="B32" s="102">
        <f>ESCALATION_FACTORS!$E$4</f>
        <v>42551</v>
      </c>
      <c r="C32" s="111">
        <f>VLOOKUP($C$25,ESCALATION_FACTORS!$A$5:$E$9,5,)</f>
        <v>0.0362</v>
      </c>
    </row>
    <row r="33" spans="1:5" s="23" customFormat="1" ht="13.5" thickBot="1">
      <c r="A33" s="24"/>
      <c r="B33" s="24"/>
      <c r="C33" s="24"/>
      <c r="D33" s="24"/>
      <c r="E33" s="24"/>
    </row>
    <row r="34" spans="1:4" ht="13.5" thickBot="1">
      <c r="A34" s="18" t="s">
        <v>52</v>
      </c>
      <c r="B34" s="18"/>
      <c r="C34" s="94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MRCP_Calculation!B16</f>
        <v>14740.555458175939</v>
      </c>
      <c r="D34" s="13" t="s">
        <v>56</v>
      </c>
    </row>
    <row r="35" ht="12.75">
      <c r="C35" s="21"/>
    </row>
    <row r="36" ht="13.5" thickBot="1"/>
    <row r="37" spans="1:3" ht="18.75" thickBot="1">
      <c r="A37" s="10" t="s">
        <v>36</v>
      </c>
      <c r="B37" s="51"/>
      <c r="C37" s="14"/>
    </row>
    <row r="38" ht="13.5" thickBot="1"/>
    <row r="39" spans="1:3" ht="13.5" thickBot="1">
      <c r="A39" s="41" t="s">
        <v>76</v>
      </c>
      <c r="B39" s="105"/>
      <c r="C39" s="42"/>
    </row>
    <row r="40" spans="1:3" ht="13.5" thickBot="1">
      <c r="A40" s="16" t="s">
        <v>39</v>
      </c>
      <c r="B40" s="106"/>
      <c r="C40" s="3">
        <v>290000</v>
      </c>
    </row>
    <row r="41" spans="1:3" ht="13.5" thickBot="1">
      <c r="A41" s="16" t="s">
        <v>37</v>
      </c>
      <c r="B41" s="107"/>
      <c r="C41" s="3">
        <v>290000</v>
      </c>
    </row>
    <row r="42" spans="1:3" ht="13.5" thickBot="1">
      <c r="A42" s="16" t="s">
        <v>38</v>
      </c>
      <c r="B42" s="107"/>
      <c r="C42" s="3">
        <v>290000</v>
      </c>
    </row>
    <row r="43" spans="1:3" ht="13.5" thickBot="1">
      <c r="A43" s="16" t="s">
        <v>110</v>
      </c>
      <c r="B43" s="107"/>
      <c r="C43" s="3">
        <v>290000</v>
      </c>
    </row>
    <row r="44" spans="1:3" ht="13.5" thickBot="1">
      <c r="A44" s="16" t="s">
        <v>40</v>
      </c>
      <c r="B44" s="107"/>
      <c r="C44" s="3">
        <v>290000</v>
      </c>
    </row>
    <row r="45" spans="1:3" ht="13.5" thickBot="1">
      <c r="A45" s="16" t="s">
        <v>41</v>
      </c>
      <c r="B45" s="107"/>
      <c r="C45" s="3">
        <v>290000</v>
      </c>
    </row>
    <row r="46" spans="1:3" ht="13.5" thickBot="1">
      <c r="A46" s="16" t="s">
        <v>42</v>
      </c>
      <c r="B46" s="107"/>
      <c r="C46" s="3">
        <v>290000</v>
      </c>
    </row>
    <row r="47" spans="1:3" ht="13.5" thickBot="1">
      <c r="A47" s="16" t="s">
        <v>43</v>
      </c>
      <c r="B47" s="107"/>
      <c r="C47" s="3">
        <v>290000</v>
      </c>
    </row>
    <row r="48" spans="1:3" ht="13.5" thickBot="1">
      <c r="A48" s="16" t="s">
        <v>44</v>
      </c>
      <c r="B48" s="107"/>
      <c r="C48" s="3">
        <v>290000</v>
      </c>
    </row>
    <row r="49" spans="1:3" ht="13.5" thickBot="1">
      <c r="A49" s="17" t="s">
        <v>45</v>
      </c>
      <c r="B49" s="108"/>
      <c r="C49" s="3">
        <v>290000</v>
      </c>
    </row>
    <row r="50" ht="13.5" thickBot="1"/>
    <row r="51" spans="1:17" ht="13.5" thickBot="1">
      <c r="A51" s="18" t="s">
        <v>46</v>
      </c>
      <c r="B51" s="18"/>
      <c r="C51" s="19">
        <v>1</v>
      </c>
      <c r="D51" s="43">
        <f>C51+1</f>
        <v>2</v>
      </c>
      <c r="E51" s="43">
        <f aca="true" t="shared" si="5" ref="E51:Q51">D51+1</f>
        <v>3</v>
      </c>
      <c r="F51" s="43">
        <f t="shared" si="5"/>
        <v>4</v>
      </c>
      <c r="G51" s="43">
        <f t="shared" si="5"/>
        <v>5</v>
      </c>
      <c r="H51" s="43">
        <f t="shared" si="5"/>
        <v>6</v>
      </c>
      <c r="I51" s="43">
        <f t="shared" si="5"/>
        <v>7</v>
      </c>
      <c r="J51" s="43">
        <f t="shared" si="5"/>
        <v>8</v>
      </c>
      <c r="K51" s="43">
        <f t="shared" si="5"/>
        <v>9</v>
      </c>
      <c r="L51" s="43">
        <f t="shared" si="5"/>
        <v>10</v>
      </c>
      <c r="M51" s="43">
        <f t="shared" si="5"/>
        <v>11</v>
      </c>
      <c r="N51" s="43">
        <f t="shared" si="5"/>
        <v>12</v>
      </c>
      <c r="O51" s="43">
        <f t="shared" si="5"/>
        <v>13</v>
      </c>
      <c r="P51" s="43">
        <f t="shared" si="5"/>
        <v>14</v>
      </c>
      <c r="Q51" s="43">
        <f t="shared" si="5"/>
        <v>15</v>
      </c>
    </row>
    <row r="52" spans="1:17" ht="13.5" thickBot="1">
      <c r="A52" s="18" t="s">
        <v>47</v>
      </c>
      <c r="B52" s="18"/>
      <c r="C52" s="19">
        <v>5</v>
      </c>
      <c r="D52" s="43">
        <f>C52</f>
        <v>5</v>
      </c>
      <c r="E52" s="43">
        <f aca="true" t="shared" si="6" ref="E52:Q53">D52</f>
        <v>5</v>
      </c>
      <c r="F52" s="43">
        <f t="shared" si="6"/>
        <v>5</v>
      </c>
      <c r="G52" s="43">
        <f t="shared" si="6"/>
        <v>5</v>
      </c>
      <c r="H52" s="43">
        <f t="shared" si="6"/>
        <v>5</v>
      </c>
      <c r="I52" s="43">
        <f t="shared" si="6"/>
        <v>5</v>
      </c>
      <c r="J52" s="43">
        <f t="shared" si="6"/>
        <v>5</v>
      </c>
      <c r="K52" s="43">
        <f t="shared" si="6"/>
        <v>5</v>
      </c>
      <c r="L52" s="43">
        <f t="shared" si="6"/>
        <v>5</v>
      </c>
      <c r="M52" s="43">
        <f t="shared" si="6"/>
        <v>5</v>
      </c>
      <c r="N52" s="43">
        <f t="shared" si="6"/>
        <v>5</v>
      </c>
      <c r="O52" s="43">
        <f t="shared" si="6"/>
        <v>5</v>
      </c>
      <c r="P52" s="43">
        <f t="shared" si="6"/>
        <v>5</v>
      </c>
      <c r="Q52" s="43">
        <f t="shared" si="6"/>
        <v>5</v>
      </c>
    </row>
    <row r="53" spans="1:17" ht="13.5" thickBot="1">
      <c r="A53" s="18" t="s">
        <v>51</v>
      </c>
      <c r="B53" s="18"/>
      <c r="C53" s="45">
        <f>C40</f>
        <v>290000</v>
      </c>
      <c r="D53" s="44">
        <f>C53</f>
        <v>290000</v>
      </c>
      <c r="E53" s="44">
        <f>D53</f>
        <v>290000</v>
      </c>
      <c r="F53" s="44">
        <f>E53</f>
        <v>290000</v>
      </c>
      <c r="G53" s="44">
        <f>F53</f>
        <v>290000</v>
      </c>
      <c r="H53" s="45">
        <f>C41</f>
        <v>290000</v>
      </c>
      <c r="I53" s="44">
        <f>H53</f>
        <v>290000</v>
      </c>
      <c r="J53" s="44">
        <f t="shared" si="6"/>
        <v>290000</v>
      </c>
      <c r="K53" s="44">
        <f t="shared" si="6"/>
        <v>290000</v>
      </c>
      <c r="L53" s="44">
        <f t="shared" si="6"/>
        <v>290000</v>
      </c>
      <c r="M53" s="45">
        <f>C42</f>
        <v>290000</v>
      </c>
      <c r="N53" s="44">
        <f>M53</f>
        <v>290000</v>
      </c>
      <c r="O53" s="44">
        <f t="shared" si="6"/>
        <v>290000</v>
      </c>
      <c r="P53" s="44">
        <f t="shared" si="6"/>
        <v>290000</v>
      </c>
      <c r="Q53" s="44">
        <f t="shared" si="6"/>
        <v>290000</v>
      </c>
    </row>
    <row r="54" spans="1:17" ht="12.75">
      <c r="A54" s="18" t="s">
        <v>48</v>
      </c>
      <c r="B54" s="18"/>
      <c r="C54" s="44">
        <f>C53/C52</f>
        <v>58000</v>
      </c>
      <c r="D54" s="44">
        <f aca="true" t="shared" si="7" ref="D54:Q54">D53/D52</f>
        <v>58000</v>
      </c>
      <c r="E54" s="44">
        <f t="shared" si="7"/>
        <v>58000</v>
      </c>
      <c r="F54" s="44">
        <f t="shared" si="7"/>
        <v>58000</v>
      </c>
      <c r="G54" s="44">
        <f t="shared" si="7"/>
        <v>58000</v>
      </c>
      <c r="H54" s="44">
        <f t="shared" si="7"/>
        <v>58000</v>
      </c>
      <c r="I54" s="44">
        <f t="shared" si="7"/>
        <v>58000</v>
      </c>
      <c r="J54" s="44">
        <f t="shared" si="7"/>
        <v>58000</v>
      </c>
      <c r="K54" s="44">
        <f t="shared" si="7"/>
        <v>58000</v>
      </c>
      <c r="L54" s="44">
        <f t="shared" si="7"/>
        <v>58000</v>
      </c>
      <c r="M54" s="44">
        <f t="shared" si="7"/>
        <v>58000</v>
      </c>
      <c r="N54" s="44">
        <f t="shared" si="7"/>
        <v>58000</v>
      </c>
      <c r="O54" s="44">
        <f t="shared" si="7"/>
        <v>58000</v>
      </c>
      <c r="P54" s="44">
        <f t="shared" si="7"/>
        <v>58000</v>
      </c>
      <c r="Q54" s="44">
        <f t="shared" si="7"/>
        <v>58000</v>
      </c>
    </row>
    <row r="55" spans="1:17" ht="12.75">
      <c r="A55" s="18" t="s">
        <v>15</v>
      </c>
      <c r="B55" s="18"/>
      <c r="C55" s="46">
        <f>WACC!B21</f>
        <v>0.05953447999320671</v>
      </c>
      <c r="D55" s="46">
        <f>C55</f>
        <v>0.05953447999320671</v>
      </c>
      <c r="E55" s="46">
        <f aca="true" t="shared" si="8" ref="E55:Q55">D55</f>
        <v>0.05953447999320671</v>
      </c>
      <c r="F55" s="46">
        <f t="shared" si="8"/>
        <v>0.05953447999320671</v>
      </c>
      <c r="G55" s="46">
        <f t="shared" si="8"/>
        <v>0.05953447999320671</v>
      </c>
      <c r="H55" s="46">
        <f t="shared" si="8"/>
        <v>0.05953447999320671</v>
      </c>
      <c r="I55" s="46">
        <f t="shared" si="8"/>
        <v>0.05953447999320671</v>
      </c>
      <c r="J55" s="46">
        <f t="shared" si="8"/>
        <v>0.05953447999320671</v>
      </c>
      <c r="K55" s="46">
        <f t="shared" si="8"/>
        <v>0.05953447999320671</v>
      </c>
      <c r="L55" s="46">
        <f t="shared" si="8"/>
        <v>0.05953447999320671</v>
      </c>
      <c r="M55" s="46">
        <f t="shared" si="8"/>
        <v>0.05953447999320671</v>
      </c>
      <c r="N55" s="46">
        <f t="shared" si="8"/>
        <v>0.05953447999320671</v>
      </c>
      <c r="O55" s="46">
        <f t="shared" si="8"/>
        <v>0.05953447999320671</v>
      </c>
      <c r="P55" s="46">
        <f t="shared" si="8"/>
        <v>0.05953447999320671</v>
      </c>
      <c r="Q55" s="46">
        <f t="shared" si="8"/>
        <v>0.05953447999320671</v>
      </c>
    </row>
    <row r="56" spans="1:17" ht="12.75">
      <c r="A56" s="18" t="s">
        <v>49</v>
      </c>
      <c r="B56" s="18"/>
      <c r="C56" s="43">
        <f>C54/(1+C55)^C51</f>
        <v>54741.02173661387</v>
      </c>
      <c r="D56" s="43">
        <f aca="true" t="shared" si="9" ref="D56:Q56">D54/(1+D55)^D51</f>
        <v>51665.163116697106</v>
      </c>
      <c r="E56" s="43">
        <f t="shared" si="9"/>
        <v>48762.134779255466</v>
      </c>
      <c r="F56" s="43">
        <f t="shared" si="9"/>
        <v>46022.2255150848</v>
      </c>
      <c r="G56" s="43">
        <f t="shared" si="9"/>
        <v>43436.26978083797</v>
      </c>
      <c r="H56" s="43">
        <f t="shared" si="9"/>
        <v>40995.61703845303</v>
      </c>
      <c r="I56" s="43">
        <f t="shared" si="9"/>
        <v>38692.102817376806</v>
      </c>
      <c r="J56" s="43">
        <f t="shared" si="9"/>
        <v>36518.02140278142</v>
      </c>
      <c r="K56" s="43">
        <f t="shared" si="9"/>
        <v>34466.10005841014</v>
      </c>
      <c r="L56" s="43">
        <f t="shared" si="9"/>
        <v>32529.47469782307</v>
      </c>
      <c r="M56" s="43">
        <f t="shared" si="9"/>
        <v>30701.66692265799</v>
      </c>
      <c r="N56" s="43">
        <f t="shared" si="9"/>
        <v>28976.562351094824</v>
      </c>
      <c r="O56" s="43">
        <f t="shared" si="9"/>
        <v>27348.390164028086</v>
      </c>
      <c r="P56" s="43">
        <f t="shared" si="9"/>
        <v>25811.70380052514</v>
      </c>
      <c r="Q56" s="43">
        <f t="shared" si="9"/>
        <v>24361.362737992855</v>
      </c>
    </row>
    <row r="57" spans="1:4" ht="12.75">
      <c r="A57" s="18" t="s">
        <v>50</v>
      </c>
      <c r="B57" s="18"/>
      <c r="C57" s="47">
        <f>SUM(C56:Q56)</f>
        <v>565027.8169196326</v>
      </c>
      <c r="D57" s="50"/>
    </row>
    <row r="58" spans="1:4" ht="13.5" thickBot="1">
      <c r="A58" s="18" t="s">
        <v>53</v>
      </c>
      <c r="B58" s="18"/>
      <c r="C58" s="47">
        <f>-PMT(C55,ANNUALISED_CAP_COST!$B$27,C57)</f>
        <v>58000</v>
      </c>
      <c r="D58" s="50"/>
    </row>
    <row r="59" spans="1:3" ht="13.5" thickBot="1">
      <c r="A59" s="18" t="s">
        <v>70</v>
      </c>
      <c r="B59" s="18"/>
      <c r="C59" s="20" t="s">
        <v>139</v>
      </c>
    </row>
    <row r="60" spans="1:3" s="23" customFormat="1" ht="13.5" thickBot="1">
      <c r="A60" s="24" t="s">
        <v>123</v>
      </c>
      <c r="B60" s="24"/>
      <c r="C60" s="35">
        <v>41090</v>
      </c>
    </row>
    <row r="61" spans="1:3" s="23" customFormat="1" ht="13.5" thickBot="1">
      <c r="A61" s="24" t="s">
        <v>124</v>
      </c>
      <c r="B61" s="24"/>
      <c r="C61" s="36">
        <v>42278</v>
      </c>
    </row>
    <row r="62" spans="4:5" ht="13.5" thickBot="1">
      <c r="D62" s="24"/>
      <c r="E62" s="24"/>
    </row>
    <row r="63" spans="1:3" ht="13.5" thickBot="1">
      <c r="A63" s="18" t="s">
        <v>143</v>
      </c>
      <c r="B63" s="102">
        <f>ESCALATION_FACTORS!$B$4</f>
        <v>41455</v>
      </c>
      <c r="C63" s="111">
        <f>VLOOKUP($C$59,ESCALATION_FACTORS!$A$5:$E$9,2,)</f>
        <v>0.0432</v>
      </c>
    </row>
    <row r="64" spans="1:5" s="23" customFormat="1" ht="13.5" thickBot="1">
      <c r="A64" s="24"/>
      <c r="B64" s="102">
        <f>ESCALATION_FACTORS!$C$4</f>
        <v>41820</v>
      </c>
      <c r="C64" s="111">
        <f>VLOOKUP($C$59,ESCALATION_FACTORS!$A$5:$E$9,3,)</f>
        <v>0.0432</v>
      </c>
      <c r="D64" s="24"/>
      <c r="E64" s="24"/>
    </row>
    <row r="65" spans="1:5" s="23" customFormat="1" ht="13.5" thickBot="1">
      <c r="A65" s="24"/>
      <c r="B65" s="102">
        <f>ESCALATION_FACTORS!$D$4</f>
        <v>42185</v>
      </c>
      <c r="C65" s="111">
        <f>VLOOKUP($C$59,ESCALATION_FACTORS!$A$5:$E$9,4,)</f>
        <v>0.0432</v>
      </c>
      <c r="D65" s="24"/>
      <c r="E65" s="24"/>
    </row>
    <row r="66" spans="1:5" s="23" customFormat="1" ht="13.5" thickBot="1">
      <c r="A66" s="13"/>
      <c r="B66" s="102">
        <f>ESCALATION_FACTORS!$E$4</f>
        <v>42551</v>
      </c>
      <c r="C66" s="111">
        <f>VLOOKUP($C$59,ESCALATION_FACTORS!$A$5:$E$9,5,)</f>
        <v>0.0432</v>
      </c>
      <c r="D66" s="24"/>
      <c r="E66" s="24"/>
    </row>
    <row r="67" spans="1:5" s="23" customFormat="1" ht="13.5" thickBot="1">
      <c r="A67" s="24"/>
      <c r="B67" s="24"/>
      <c r="C67" s="24"/>
      <c r="D67" s="24"/>
      <c r="E67" s="24"/>
    </row>
    <row r="68" spans="1:4" ht="13.5" thickBot="1">
      <c r="A68" s="18" t="s">
        <v>52</v>
      </c>
      <c r="B68" s="18"/>
      <c r="C68" s="94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MRCP_Calculation!B16</f>
        <v>417.0278060448836</v>
      </c>
      <c r="D68" s="13" t="s">
        <v>56</v>
      </c>
    </row>
    <row r="69" spans="1:3" ht="12.75">
      <c r="A69" s="18"/>
      <c r="B69" s="18"/>
      <c r="C69" s="22"/>
    </row>
    <row r="70" ht="13.5" thickBot="1"/>
    <row r="71" spans="1:3" ht="13.5" thickBot="1">
      <c r="A71" s="41" t="s">
        <v>75</v>
      </c>
      <c r="B71" s="105"/>
      <c r="C71" s="42"/>
    </row>
    <row r="72" spans="1:3" ht="13.5" thickBot="1">
      <c r="A72" s="15" t="s">
        <v>39</v>
      </c>
      <c r="B72" s="106"/>
      <c r="C72" s="3">
        <v>5650</v>
      </c>
    </row>
    <row r="73" spans="1:3" ht="13.5" thickBot="1">
      <c r="A73" s="16" t="s">
        <v>37</v>
      </c>
      <c r="B73" s="107"/>
      <c r="C73" s="3">
        <v>5650</v>
      </c>
    </row>
    <row r="74" spans="1:3" ht="13.5" thickBot="1">
      <c r="A74" s="16" t="s">
        <v>38</v>
      </c>
      <c r="B74" s="107"/>
      <c r="C74" s="3">
        <v>5650</v>
      </c>
    </row>
    <row r="75" spans="1:3" ht="13.5" thickBot="1">
      <c r="A75" s="16" t="s">
        <v>110</v>
      </c>
      <c r="B75" s="107"/>
      <c r="C75" s="3">
        <v>5650</v>
      </c>
    </row>
    <row r="76" spans="1:3" ht="13.5" thickBot="1">
      <c r="A76" s="16" t="s">
        <v>40</v>
      </c>
      <c r="B76" s="107"/>
      <c r="C76" s="3">
        <v>5650</v>
      </c>
    </row>
    <row r="77" spans="1:3" ht="13.5" thickBot="1">
      <c r="A77" s="16" t="s">
        <v>41</v>
      </c>
      <c r="B77" s="107"/>
      <c r="C77" s="3">
        <v>5650</v>
      </c>
    </row>
    <row r="78" spans="1:3" ht="13.5" thickBot="1">
      <c r="A78" s="16" t="s">
        <v>42</v>
      </c>
      <c r="B78" s="107"/>
      <c r="C78" s="3">
        <v>5650</v>
      </c>
    </row>
    <row r="79" spans="1:3" ht="13.5" thickBot="1">
      <c r="A79" s="16" t="s">
        <v>43</v>
      </c>
      <c r="B79" s="107"/>
      <c r="C79" s="3">
        <v>5650</v>
      </c>
    </row>
    <row r="80" spans="1:3" ht="13.5" thickBot="1">
      <c r="A80" s="16" t="s">
        <v>44</v>
      </c>
      <c r="B80" s="107"/>
      <c r="C80" s="3">
        <v>5650</v>
      </c>
    </row>
    <row r="81" spans="1:3" ht="13.5" thickBot="1">
      <c r="A81" s="16" t="s">
        <v>45</v>
      </c>
      <c r="B81" s="107"/>
      <c r="C81" s="3">
        <v>5650</v>
      </c>
    </row>
    <row r="82" spans="1:3" ht="13.5" thickBot="1">
      <c r="A82" s="16" t="s">
        <v>54</v>
      </c>
      <c r="B82" s="107"/>
      <c r="C82" s="3">
        <v>5650</v>
      </c>
    </row>
    <row r="83" spans="1:3" ht="13.5" thickBot="1">
      <c r="A83" s="17" t="s">
        <v>55</v>
      </c>
      <c r="B83" s="108"/>
      <c r="C83" s="3">
        <v>5650</v>
      </c>
    </row>
    <row r="84" ht="13.5" thickBot="1"/>
    <row r="85" spans="1:17" ht="13.5" thickBot="1">
      <c r="A85" s="18" t="s">
        <v>46</v>
      </c>
      <c r="B85" s="18"/>
      <c r="C85" s="19">
        <v>1</v>
      </c>
      <c r="D85" s="43">
        <f>C85+1</f>
        <v>2</v>
      </c>
      <c r="E85" s="43">
        <f aca="true" t="shared" si="10" ref="E85:Q85">D85+1</f>
        <v>3</v>
      </c>
      <c r="F85" s="43">
        <f t="shared" si="10"/>
        <v>4</v>
      </c>
      <c r="G85" s="43">
        <f t="shared" si="10"/>
        <v>5</v>
      </c>
      <c r="H85" s="43">
        <f t="shared" si="10"/>
        <v>6</v>
      </c>
      <c r="I85" s="43">
        <f t="shared" si="10"/>
        <v>7</v>
      </c>
      <c r="J85" s="43">
        <f t="shared" si="10"/>
        <v>8</v>
      </c>
      <c r="K85" s="43">
        <f t="shared" si="10"/>
        <v>9</v>
      </c>
      <c r="L85" s="43">
        <f t="shared" si="10"/>
        <v>10</v>
      </c>
      <c r="M85" s="43">
        <f t="shared" si="10"/>
        <v>11</v>
      </c>
      <c r="N85" s="43">
        <f t="shared" si="10"/>
        <v>12</v>
      </c>
      <c r="O85" s="43">
        <f t="shared" si="10"/>
        <v>13</v>
      </c>
      <c r="P85" s="43">
        <f t="shared" si="10"/>
        <v>14</v>
      </c>
      <c r="Q85" s="43">
        <f t="shared" si="10"/>
        <v>15</v>
      </c>
    </row>
    <row r="86" spans="1:17" ht="13.5" thickBot="1">
      <c r="A86" s="18" t="s">
        <v>47</v>
      </c>
      <c r="B86" s="18"/>
      <c r="C86" s="19">
        <v>5</v>
      </c>
      <c r="D86" s="43">
        <f>C86</f>
        <v>5</v>
      </c>
      <c r="E86" s="43">
        <f aca="true" t="shared" si="11" ref="E86:Q87">D86</f>
        <v>5</v>
      </c>
      <c r="F86" s="43">
        <f t="shared" si="11"/>
        <v>5</v>
      </c>
      <c r="G86" s="43">
        <f t="shared" si="11"/>
        <v>5</v>
      </c>
      <c r="H86" s="43">
        <f t="shared" si="11"/>
        <v>5</v>
      </c>
      <c r="I86" s="43">
        <f t="shared" si="11"/>
        <v>5</v>
      </c>
      <c r="J86" s="43">
        <f t="shared" si="11"/>
        <v>5</v>
      </c>
      <c r="K86" s="43">
        <f t="shared" si="11"/>
        <v>5</v>
      </c>
      <c r="L86" s="43">
        <f t="shared" si="11"/>
        <v>5</v>
      </c>
      <c r="M86" s="43">
        <f t="shared" si="11"/>
        <v>5</v>
      </c>
      <c r="N86" s="43">
        <f t="shared" si="11"/>
        <v>5</v>
      </c>
      <c r="O86" s="43">
        <f t="shared" si="11"/>
        <v>5</v>
      </c>
      <c r="P86" s="43">
        <f t="shared" si="11"/>
        <v>5</v>
      </c>
      <c r="Q86" s="43">
        <f t="shared" si="11"/>
        <v>5</v>
      </c>
    </row>
    <row r="87" spans="1:17" ht="13.5" thickBot="1">
      <c r="A87" s="18" t="s">
        <v>51</v>
      </c>
      <c r="B87" s="18"/>
      <c r="C87" s="45">
        <f>C72</f>
        <v>5650</v>
      </c>
      <c r="D87" s="44">
        <f>C87</f>
        <v>5650</v>
      </c>
      <c r="E87" s="44">
        <f>D87</f>
        <v>5650</v>
      </c>
      <c r="F87" s="44">
        <f>E87</f>
        <v>5650</v>
      </c>
      <c r="G87" s="44">
        <f>F87</f>
        <v>5650</v>
      </c>
      <c r="H87" s="44">
        <f>C73</f>
        <v>5650</v>
      </c>
      <c r="I87" s="44">
        <f>H87</f>
        <v>5650</v>
      </c>
      <c r="J87" s="44">
        <f t="shared" si="11"/>
        <v>5650</v>
      </c>
      <c r="K87" s="44">
        <f t="shared" si="11"/>
        <v>5650</v>
      </c>
      <c r="L87" s="44">
        <f t="shared" si="11"/>
        <v>5650</v>
      </c>
      <c r="M87" s="44">
        <f>C74</f>
        <v>5650</v>
      </c>
      <c r="N87" s="44">
        <f>M87</f>
        <v>5650</v>
      </c>
      <c r="O87" s="44">
        <f t="shared" si="11"/>
        <v>5650</v>
      </c>
      <c r="P87" s="44">
        <f t="shared" si="11"/>
        <v>5650</v>
      </c>
      <c r="Q87" s="44">
        <f t="shared" si="11"/>
        <v>5650</v>
      </c>
    </row>
    <row r="88" spans="1:17" ht="12.75">
      <c r="A88" s="18" t="s">
        <v>48</v>
      </c>
      <c r="B88" s="18"/>
      <c r="C88" s="44">
        <f>C87/C86</f>
        <v>1130</v>
      </c>
      <c r="D88" s="44">
        <f aca="true" t="shared" si="12" ref="D88:Q88">D87/D86</f>
        <v>1130</v>
      </c>
      <c r="E88" s="44">
        <f t="shared" si="12"/>
        <v>1130</v>
      </c>
      <c r="F88" s="44">
        <f t="shared" si="12"/>
        <v>1130</v>
      </c>
      <c r="G88" s="44">
        <f t="shared" si="12"/>
        <v>1130</v>
      </c>
      <c r="H88" s="44">
        <f t="shared" si="12"/>
        <v>1130</v>
      </c>
      <c r="I88" s="44">
        <f t="shared" si="12"/>
        <v>1130</v>
      </c>
      <c r="J88" s="44">
        <f t="shared" si="12"/>
        <v>1130</v>
      </c>
      <c r="K88" s="44">
        <f t="shared" si="12"/>
        <v>1130</v>
      </c>
      <c r="L88" s="44">
        <f t="shared" si="12"/>
        <v>1130</v>
      </c>
      <c r="M88" s="44">
        <f t="shared" si="12"/>
        <v>1130</v>
      </c>
      <c r="N88" s="44">
        <f t="shared" si="12"/>
        <v>1130</v>
      </c>
      <c r="O88" s="44">
        <f t="shared" si="12"/>
        <v>1130</v>
      </c>
      <c r="P88" s="44">
        <f t="shared" si="12"/>
        <v>1130</v>
      </c>
      <c r="Q88" s="44">
        <f t="shared" si="12"/>
        <v>1130</v>
      </c>
    </row>
    <row r="89" spans="1:17" ht="12.75">
      <c r="A89" s="18" t="s">
        <v>15</v>
      </c>
      <c r="B89" s="18"/>
      <c r="C89" s="46">
        <f>WACC!B21</f>
        <v>0.05953447999320671</v>
      </c>
      <c r="D89" s="46">
        <f>C89</f>
        <v>0.05953447999320671</v>
      </c>
      <c r="E89" s="46">
        <f aca="true" t="shared" si="13" ref="E89:Q89">D89</f>
        <v>0.05953447999320671</v>
      </c>
      <c r="F89" s="46">
        <f t="shared" si="13"/>
        <v>0.05953447999320671</v>
      </c>
      <c r="G89" s="46">
        <f t="shared" si="13"/>
        <v>0.05953447999320671</v>
      </c>
      <c r="H89" s="46">
        <f t="shared" si="13"/>
        <v>0.05953447999320671</v>
      </c>
      <c r="I89" s="46">
        <f t="shared" si="13"/>
        <v>0.05953447999320671</v>
      </c>
      <c r="J89" s="46">
        <f t="shared" si="13"/>
        <v>0.05953447999320671</v>
      </c>
      <c r="K89" s="46">
        <f t="shared" si="13"/>
        <v>0.05953447999320671</v>
      </c>
      <c r="L89" s="46">
        <f t="shared" si="13"/>
        <v>0.05953447999320671</v>
      </c>
      <c r="M89" s="46">
        <f t="shared" si="13"/>
        <v>0.05953447999320671</v>
      </c>
      <c r="N89" s="46">
        <f t="shared" si="13"/>
        <v>0.05953447999320671</v>
      </c>
      <c r="O89" s="46">
        <f t="shared" si="13"/>
        <v>0.05953447999320671</v>
      </c>
      <c r="P89" s="46">
        <f t="shared" si="13"/>
        <v>0.05953447999320671</v>
      </c>
      <c r="Q89" s="46">
        <f t="shared" si="13"/>
        <v>0.05953447999320671</v>
      </c>
    </row>
    <row r="90" spans="1:17" ht="12.75">
      <c r="A90" s="18" t="s">
        <v>49</v>
      </c>
      <c r="B90" s="18"/>
      <c r="C90" s="43">
        <f aca="true" t="shared" si="14" ref="C90:Q90">C88/(1+C89)^C85</f>
        <v>1066.5061131443736</v>
      </c>
      <c r="D90" s="43">
        <f t="shared" si="14"/>
        <v>1006.5799021011677</v>
      </c>
      <c r="E90" s="43">
        <f t="shared" si="14"/>
        <v>950.0209017337703</v>
      </c>
      <c r="F90" s="43">
        <f t="shared" si="14"/>
        <v>896.6399108973418</v>
      </c>
      <c r="G90" s="43">
        <f t="shared" si="14"/>
        <v>846.2583595232226</v>
      </c>
      <c r="H90" s="43">
        <f t="shared" si="14"/>
        <v>798.7077112664124</v>
      </c>
      <c r="I90" s="43">
        <f t="shared" si="14"/>
        <v>753.8288997178585</v>
      </c>
      <c r="J90" s="43">
        <f t="shared" si="14"/>
        <v>711.471796295569</v>
      </c>
      <c r="K90" s="43">
        <f t="shared" si="14"/>
        <v>671.4947080345424</v>
      </c>
      <c r="L90" s="43">
        <f t="shared" si="14"/>
        <v>633.7639035955184</v>
      </c>
      <c r="M90" s="43">
        <f t="shared" si="14"/>
        <v>598.1531659069574</v>
      </c>
      <c r="N90" s="43">
        <f t="shared" si="14"/>
        <v>564.543369943744</v>
      </c>
      <c r="O90" s="43">
        <f t="shared" si="14"/>
        <v>532.8220842302023</v>
      </c>
      <c r="P90" s="43">
        <f t="shared" si="14"/>
        <v>502.88319473436917</v>
      </c>
      <c r="Q90" s="43">
        <f t="shared" si="14"/>
        <v>474.626549895378</v>
      </c>
    </row>
    <row r="91" spans="1:4" ht="12.75">
      <c r="A91" s="18" t="s">
        <v>50</v>
      </c>
      <c r="B91" s="18"/>
      <c r="C91" s="47">
        <f>SUM(C90:Q90)</f>
        <v>11008.300571020427</v>
      </c>
      <c r="D91" s="50"/>
    </row>
    <row r="92" spans="1:4" ht="13.5" thickBot="1">
      <c r="A92" s="18" t="s">
        <v>53</v>
      </c>
      <c r="B92" s="18"/>
      <c r="C92" s="47">
        <f>-PMT(C89,ANNUALISED_CAP_COST!$B$27,C91)</f>
        <v>1129.9999999999998</v>
      </c>
      <c r="D92" s="50"/>
    </row>
    <row r="93" spans="1:3" ht="13.5" thickBot="1">
      <c r="A93" s="18" t="s">
        <v>70</v>
      </c>
      <c r="B93" s="18"/>
      <c r="C93" s="20" t="s">
        <v>139</v>
      </c>
    </row>
    <row r="94" spans="1:3" s="23" customFormat="1" ht="13.5" thickBot="1">
      <c r="A94" s="24" t="s">
        <v>123</v>
      </c>
      <c r="B94" s="24"/>
      <c r="C94" s="35">
        <v>41090</v>
      </c>
    </row>
    <row r="95" spans="1:3" s="23" customFormat="1" ht="13.5" thickBot="1">
      <c r="A95" s="24" t="s">
        <v>124</v>
      </c>
      <c r="B95" s="24"/>
      <c r="C95" s="36">
        <v>42278</v>
      </c>
    </row>
    <row r="96" spans="4:5" ht="13.5" thickBot="1">
      <c r="D96" s="24"/>
      <c r="E96" s="24"/>
    </row>
    <row r="97" spans="1:3" ht="13.5" thickBot="1">
      <c r="A97" s="18" t="s">
        <v>143</v>
      </c>
      <c r="B97" s="102">
        <f>ESCALATION_FACTORS!$B$4</f>
        <v>41455</v>
      </c>
      <c r="C97" s="111">
        <f>VLOOKUP($C$93,ESCALATION_FACTORS!$A$5:$E$9,2,)</f>
        <v>0.0432</v>
      </c>
    </row>
    <row r="98" spans="1:5" s="23" customFormat="1" ht="13.5" thickBot="1">
      <c r="A98" s="24"/>
      <c r="B98" s="102">
        <f>ESCALATION_FACTORS!$C$4</f>
        <v>41820</v>
      </c>
      <c r="C98" s="111">
        <f>VLOOKUP($C$93,ESCALATION_FACTORS!$A$5:$E$9,3,)</f>
        <v>0.0432</v>
      </c>
      <c r="D98" s="24"/>
      <c r="E98" s="24"/>
    </row>
    <row r="99" spans="1:5" s="23" customFormat="1" ht="13.5" thickBot="1">
      <c r="A99" s="24"/>
      <c r="B99" s="102">
        <f>ESCALATION_FACTORS!$D$4</f>
        <v>42185</v>
      </c>
      <c r="C99" s="111">
        <f>VLOOKUP($C$93,ESCALATION_FACTORS!$A$5:$E$9,4,)</f>
        <v>0.0432</v>
      </c>
      <c r="D99" s="24"/>
      <c r="E99" s="24"/>
    </row>
    <row r="100" spans="1:5" s="23" customFormat="1" ht="13.5" thickBot="1">
      <c r="A100" s="13"/>
      <c r="B100" s="102">
        <f>ESCALATION_FACTORS!$E$4</f>
        <v>42551</v>
      </c>
      <c r="C100" s="111">
        <f>VLOOKUP($C$93,ESCALATION_FACTORS!$A$5:$E$9,5,)</f>
        <v>0.0432</v>
      </c>
      <c r="D100" s="24"/>
      <c r="E100" s="24"/>
    </row>
    <row r="101" spans="1:5" s="23" customFormat="1" ht="13.5" thickBot="1">
      <c r="A101" s="24"/>
      <c r="B101" s="24"/>
      <c r="C101" s="24"/>
      <c r="D101" s="24"/>
      <c r="E101" s="24"/>
    </row>
    <row r="102" spans="1:11" ht="13.5" thickBot="1">
      <c r="A102" s="18" t="s">
        <v>52</v>
      </c>
      <c r="B102" s="18"/>
      <c r="C102" s="94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MRCP_Calculation!B16</f>
        <v>8.124852083288248</v>
      </c>
      <c r="D102" s="13" t="s">
        <v>56</v>
      </c>
      <c r="K102" s="21"/>
    </row>
    <row r="103" ht="12.75"/>
    <row r="104" ht="13.5" thickBot="1"/>
    <row r="105" spans="1:3" ht="18.75" thickBot="1">
      <c r="A105" s="10" t="s">
        <v>117</v>
      </c>
      <c r="B105" s="51"/>
      <c r="C105" s="14"/>
    </row>
    <row r="106" spans="1:3" ht="13.5" thickBot="1">
      <c r="A106" s="15" t="s">
        <v>135</v>
      </c>
      <c r="B106" s="106"/>
      <c r="C106" s="3">
        <f>((PC!C16*(1+M!B3)*PC!C4)+(FFC!C18)+(2*157000*PC!C4))*0.0029*(1.02)*1.1</f>
        <v>698081.2576429197</v>
      </c>
    </row>
    <row r="107" spans="1:3" ht="13.5" thickBot="1">
      <c r="A107" s="16" t="s">
        <v>136</v>
      </c>
      <c r="B107" s="107"/>
      <c r="C107" s="3">
        <f>(120000+20000)*(1+C115)*(1+C116)*(1+C117)^((C112-B116)/(B117-B116))</f>
        <v>150945.9920415507</v>
      </c>
    </row>
    <row r="108" spans="1:3" ht="13.5" thickBot="1">
      <c r="A108" s="16" t="s">
        <v>137</v>
      </c>
      <c r="B108" s="107"/>
      <c r="C108" s="3">
        <v>0</v>
      </c>
    </row>
    <row r="109" spans="1:3" ht="13.5" thickBot="1">
      <c r="A109" s="24" t="s">
        <v>118</v>
      </c>
      <c r="B109" s="24"/>
      <c r="C109" s="48">
        <f>SUM(C106:C108)</f>
        <v>849027.2496844704</v>
      </c>
    </row>
    <row r="110" spans="1:5" s="23" customFormat="1" ht="13.5" thickBot="1">
      <c r="A110" s="24"/>
      <c r="B110" s="24"/>
      <c r="C110" s="24"/>
      <c r="D110" s="24"/>
      <c r="E110" s="24"/>
    </row>
    <row r="111" spans="1:3" ht="13.5" thickBot="1">
      <c r="A111" s="24" t="s">
        <v>70</v>
      </c>
      <c r="B111" s="24"/>
      <c r="C111" s="20" t="s">
        <v>69</v>
      </c>
    </row>
    <row r="112" spans="1:3" s="23" customFormat="1" ht="13.5" thickBot="1">
      <c r="A112" s="24" t="s">
        <v>123</v>
      </c>
      <c r="B112" s="24"/>
      <c r="C112" s="35">
        <v>42095</v>
      </c>
    </row>
    <row r="113" spans="1:3" s="23" customFormat="1" ht="13.5" thickBot="1">
      <c r="A113" s="24" t="s">
        <v>124</v>
      </c>
      <c r="B113" s="24"/>
      <c r="C113" s="36">
        <v>42278</v>
      </c>
    </row>
    <row r="114" spans="4:5" ht="13.5" thickBot="1">
      <c r="D114" s="24"/>
      <c r="E114" s="24"/>
    </row>
    <row r="115" spans="1:3" ht="13.5" thickBot="1">
      <c r="A115" s="18" t="s">
        <v>143</v>
      </c>
      <c r="B115" s="102">
        <f>ESCALATION_FACTORS!$B$4</f>
        <v>41455</v>
      </c>
      <c r="C115" s="111">
        <f>VLOOKUP($C$111,ESCALATION_FACTORS!$A$5:$E$9,2,)</f>
        <v>0.0325</v>
      </c>
    </row>
    <row r="116" spans="1:5" s="23" customFormat="1" ht="13.5" thickBot="1">
      <c r="A116" s="24"/>
      <c r="B116" s="102">
        <f>ESCALATION_FACTORS!$C$4</f>
        <v>41820</v>
      </c>
      <c r="C116" s="111">
        <f>VLOOKUP($C$111,ESCALATION_FACTORS!$A$5:$E$9,3,)</f>
        <v>0.025</v>
      </c>
      <c r="D116" s="24"/>
      <c r="E116" s="24"/>
    </row>
    <row r="117" spans="1:5" s="23" customFormat="1" ht="13.5" thickBot="1">
      <c r="A117" s="24"/>
      <c r="B117" s="102">
        <f>ESCALATION_FACTORS!$D$4</f>
        <v>42185</v>
      </c>
      <c r="C117" s="111">
        <f>VLOOKUP($C$111,ESCALATION_FACTORS!$A$5:$E$9,4,)</f>
        <v>0.025</v>
      </c>
      <c r="D117" s="24"/>
      <c r="E117" s="24"/>
    </row>
    <row r="118" spans="1:5" s="23" customFormat="1" ht="13.5" thickBot="1">
      <c r="A118" s="13"/>
      <c r="B118" s="102">
        <f>ESCALATION_FACTORS!$E$4</f>
        <v>42551</v>
      </c>
      <c r="C118" s="111">
        <f>VLOOKUP($C$111,ESCALATION_FACTORS!$A$5:$E$9,5,)</f>
        <v>0.025</v>
      </c>
      <c r="D118" s="24"/>
      <c r="E118" s="24"/>
    </row>
    <row r="119" spans="1:5" s="23" customFormat="1" ht="13.5" thickBot="1">
      <c r="A119" s="24"/>
      <c r="B119" s="24"/>
      <c r="C119" s="24"/>
      <c r="D119" s="24"/>
      <c r="E119" s="24"/>
    </row>
    <row r="120" spans="1:4" s="23" customFormat="1" ht="13.5" thickBot="1">
      <c r="A120" s="24" t="s">
        <v>119</v>
      </c>
      <c r="B120" s="24"/>
      <c r="C120" s="94">
        <f>(C109*IF(C112&lt;=B115,(1+C115)^((MIN(C113,B115)-MAX(C112,DATE(YEAR(B134)-1,6,30)))/(B115-DATE(YEAR(B134)-1,6,30))),1)*IF(AND(C112&lt;=B116,C113&gt;=B115),(1+C116)^((MIN(C113,B116)-MAX(C112,B115))/(B116-B115)),1)*IF(AND(C112&lt;=B117,C113&gt;=B116),(1+C117)^((MIN(C113,B117)-MAX(C112,B116))/(B117-B116)),1)*IF(C113&gt;=B117,(1+C118)^((MIN(C113,B118)-MAX(C112,B117))/(B118-B117)),1))/MRCP_Calculation!B16</f>
        <v>5385.895213099006</v>
      </c>
      <c r="D120" s="13" t="s">
        <v>56</v>
      </c>
    </row>
    <row r="121" spans="1:4" ht="12.75">
      <c r="A121" s="23"/>
      <c r="B121" s="23"/>
      <c r="C121" s="23"/>
      <c r="D121" s="23"/>
    </row>
    <row r="122" ht="13.5" thickBot="1"/>
    <row r="123" spans="1:3" ht="18.75" thickBot="1">
      <c r="A123" s="10" t="s">
        <v>116</v>
      </c>
      <c r="B123" s="51"/>
      <c r="C123" s="14"/>
    </row>
    <row r="124" spans="1:4" ht="13.5" thickBot="1">
      <c r="A124" s="23"/>
      <c r="B124" s="23"/>
      <c r="C124" s="23"/>
      <c r="D124" s="23"/>
    </row>
    <row r="125" spans="1:3" ht="13.5" thickBot="1">
      <c r="A125" s="24" t="s">
        <v>72</v>
      </c>
      <c r="B125" s="25"/>
      <c r="C125" s="26"/>
    </row>
    <row r="126" spans="1:3" ht="13.5" thickBot="1">
      <c r="A126" s="27" t="s">
        <v>79</v>
      </c>
      <c r="B126" s="118">
        <v>0.00133</v>
      </c>
      <c r="C126" s="49">
        <f>B126*PC!$C$4*1000*365</f>
        <v>77477.81999999999</v>
      </c>
    </row>
    <row r="127" spans="1:3" ht="13.5" thickBot="1">
      <c r="A127" s="27" t="s">
        <v>80</v>
      </c>
      <c r="B127" s="118">
        <v>42.33137</v>
      </c>
      <c r="C127" s="109">
        <f>B127*365</f>
        <v>15450.95005</v>
      </c>
    </row>
    <row r="128" spans="1:3" ht="13.5" thickBot="1">
      <c r="A128" s="27" t="s">
        <v>78</v>
      </c>
      <c r="B128" s="118">
        <v>0.03276</v>
      </c>
      <c r="C128" s="45">
        <f>B128*PC!$C$4*1000*365</f>
        <v>1908401.04</v>
      </c>
    </row>
    <row r="129" spans="1:3" ht="13.5" thickBot="1">
      <c r="A129" s="24" t="s">
        <v>73</v>
      </c>
      <c r="C129" s="110">
        <f>SUM(C126:C128)</f>
        <v>2001329.81005</v>
      </c>
    </row>
    <row r="130" spans="1:3" ht="13.5" thickBot="1">
      <c r="A130" s="28" t="s">
        <v>70</v>
      </c>
      <c r="B130" s="24"/>
      <c r="C130" s="38" t="s">
        <v>69</v>
      </c>
    </row>
    <row r="131" spans="1:3" s="23" customFormat="1" ht="13.5" thickBot="1">
      <c r="A131" s="24" t="s">
        <v>123</v>
      </c>
      <c r="B131" s="24"/>
      <c r="C131" s="35">
        <v>41091</v>
      </c>
    </row>
    <row r="132" spans="1:3" s="23" customFormat="1" ht="13.5" thickBot="1">
      <c r="A132" s="24" t="s">
        <v>124</v>
      </c>
      <c r="B132" s="24"/>
      <c r="C132" s="36">
        <v>42278</v>
      </c>
    </row>
    <row r="133" spans="3:4" ht="13.5" thickBot="1">
      <c r="C133" s="24"/>
      <c r="D133" s="24"/>
    </row>
    <row r="134" spans="1:3" ht="13.5" thickBot="1">
      <c r="A134" s="18" t="s">
        <v>143</v>
      </c>
      <c r="B134" s="102">
        <f>ESCALATION_FACTORS!$B$4</f>
        <v>41455</v>
      </c>
      <c r="C134" s="111">
        <f>VLOOKUP($C$130,ESCALATION_FACTORS!$A$5:$E$9,2,)</f>
        <v>0.0325</v>
      </c>
    </row>
    <row r="135" spans="1:4" s="23" customFormat="1" ht="13.5" thickBot="1">
      <c r="A135" s="24"/>
      <c r="B135" s="102">
        <f>ESCALATION_FACTORS!$C$4</f>
        <v>41820</v>
      </c>
      <c r="C135" s="111">
        <f>VLOOKUP($C$130,ESCALATION_FACTORS!$A$5:$E$9,3,)</f>
        <v>0.025</v>
      </c>
      <c r="D135" s="24"/>
    </row>
    <row r="136" spans="1:4" s="23" customFormat="1" ht="13.5" thickBot="1">
      <c r="A136" s="24"/>
      <c r="B136" s="102">
        <f>ESCALATION_FACTORS!$D$4</f>
        <v>42185</v>
      </c>
      <c r="C136" s="111">
        <f>VLOOKUP($C$130,ESCALATION_FACTORS!$A$5:$E$9,4,)</f>
        <v>0.025</v>
      </c>
      <c r="D136" s="24"/>
    </row>
    <row r="137" spans="1:4" s="23" customFormat="1" ht="13.5" thickBot="1">
      <c r="A137" s="13"/>
      <c r="B137" s="102">
        <f>ESCALATION_FACTORS!$E$4</f>
        <v>42551</v>
      </c>
      <c r="C137" s="111">
        <f>VLOOKUP($C$130,ESCALATION_FACTORS!$A$5:$E$9,5,)</f>
        <v>0.025</v>
      </c>
      <c r="D137" s="24"/>
    </row>
    <row r="138" spans="1:4" s="23" customFormat="1" ht="13.5" thickBot="1">
      <c r="A138" s="24"/>
      <c r="B138" s="24"/>
      <c r="C138" s="24"/>
      <c r="D138" s="24"/>
    </row>
    <row r="139" spans="1:4" ht="13.5" thickBot="1">
      <c r="A139" s="24" t="s">
        <v>74</v>
      </c>
      <c r="C139" s="94">
        <f>(C129*IF(C131&lt;=B134,(1+C134)^((MIN(C132,B134)-MAX(C131,DATE(YEAR(B134)-1,6,30)))/(B134-DATE(YEAR(B134)-1,6,30))),1)*IF(AND(C131&lt;=B135,C132&gt;=B134),(1+C135)^((MIN(C132,B135)-MAX(C131,B134))/(B135-B134)),1)*IF(AND(C131&lt;=B136,C132&gt;=B135),(1+C136)^((MIN(C132,B136)-MAX(C131,B135))/(B136-B135)),1)*IF(C132&gt;=B136,(1+C137)^((MIN(C132,B137)-MAX(C131,B136))/(B137-B136)),1))/MRCP_Calculation!B16</f>
        <v>13687.068161443265</v>
      </c>
      <c r="D139" s="13" t="s">
        <v>56</v>
      </c>
    </row>
    <row r="140" ht="12.75">
      <c r="A140" s="23"/>
    </row>
    <row r="141" ht="13.5" thickBot="1">
      <c r="A141" s="30"/>
    </row>
    <row r="142" spans="1:3" ht="18.75" thickBot="1">
      <c r="A142" s="119" t="s">
        <v>93</v>
      </c>
      <c r="B142" s="120"/>
      <c r="C142" s="40">
        <f>SUM($C102,$C68,$C34,$C120,C139)</f>
        <v>34238.67149084638</v>
      </c>
    </row>
    <row r="143" spans="1:2" ht="12.75">
      <c r="A143" s="28"/>
      <c r="B143" s="28"/>
    </row>
  </sheetData>
  <sheetProtection password="88A8" sheet="1" formatCells="0" formatColumns="0" formatRows="0" autoFilter="0"/>
  <mergeCells count="1">
    <mergeCell ref="A142:B1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57421875" style="70" bestFit="1" customWidth="1"/>
    <col min="2" max="2" width="23.57421875" style="70" customWidth="1"/>
    <col min="3" max="3" width="15.421875" style="70" customWidth="1"/>
    <col min="4" max="4" width="22.28125" style="70" bestFit="1" customWidth="1"/>
    <col min="5" max="5" width="32.8515625" style="70" bestFit="1" customWidth="1"/>
    <col min="6" max="6" width="11.421875" style="70" bestFit="1" customWidth="1"/>
    <col min="7" max="7" width="6.28125" style="70" bestFit="1" customWidth="1"/>
    <col min="8" max="8" width="22.28125" style="70" bestFit="1" customWidth="1"/>
    <col min="9" max="16384" width="9.140625" style="70" customWidth="1"/>
  </cols>
  <sheetData>
    <row r="1" spans="1:4" s="12" customFormat="1" ht="18.75" thickBot="1">
      <c r="A1" s="10" t="s">
        <v>2</v>
      </c>
      <c r="B1" s="84"/>
      <c r="C1" s="84"/>
      <c r="D1" s="11"/>
    </row>
    <row r="2" ht="13.5" thickBot="1"/>
    <row r="3" spans="1:4" ht="13.5" thickBot="1">
      <c r="A3" s="41" t="s">
        <v>3</v>
      </c>
      <c r="B3" s="85" t="s">
        <v>126</v>
      </c>
      <c r="C3" s="85" t="s">
        <v>4</v>
      </c>
      <c r="D3" s="85" t="s">
        <v>21</v>
      </c>
    </row>
    <row r="4" spans="1:5" ht="13.5" thickBot="1">
      <c r="A4" s="86" t="s">
        <v>12</v>
      </c>
      <c r="B4" s="86" t="s">
        <v>105</v>
      </c>
      <c r="C4" s="33">
        <v>3.14</v>
      </c>
      <c r="D4" s="27">
        <f>C4/100</f>
        <v>0.031400000000000004</v>
      </c>
      <c r="E4" s="27"/>
    </row>
    <row r="5" spans="1:5" ht="13.5" thickBot="1">
      <c r="A5" s="86" t="s">
        <v>5</v>
      </c>
      <c r="B5" s="86" t="s">
        <v>105</v>
      </c>
      <c r="C5" s="33">
        <v>2.57</v>
      </c>
      <c r="D5" s="27">
        <f>C5/100</f>
        <v>0.025699999999999997</v>
      </c>
      <c r="E5" s="27"/>
    </row>
    <row r="6" spans="1:5" ht="13.5" thickBot="1">
      <c r="A6" s="86" t="s">
        <v>6</v>
      </c>
      <c r="B6" s="86" t="s">
        <v>105</v>
      </c>
      <c r="C6" s="33">
        <v>0.55</v>
      </c>
      <c r="D6" s="27">
        <f>C6/100</f>
        <v>0.0055000000000000005</v>
      </c>
      <c r="E6" s="27"/>
    </row>
    <row r="7" spans="1:5" ht="13.5" thickBot="1">
      <c r="A7" s="27" t="s">
        <v>13</v>
      </c>
      <c r="B7" s="27" t="s">
        <v>106</v>
      </c>
      <c r="C7" s="34">
        <v>6</v>
      </c>
      <c r="D7" s="27">
        <f>C7/100</f>
        <v>0.06</v>
      </c>
      <c r="E7" s="27"/>
    </row>
    <row r="8" spans="1:5" ht="13.5" thickBot="1">
      <c r="A8" s="27" t="s">
        <v>7</v>
      </c>
      <c r="B8" s="27" t="s">
        <v>106</v>
      </c>
      <c r="C8" s="34">
        <v>0.5</v>
      </c>
      <c r="D8" s="27">
        <f>C8</f>
        <v>0.5</v>
      </c>
      <c r="E8" s="27"/>
    </row>
    <row r="9" spans="1:5" ht="13.5" thickBot="1">
      <c r="A9" s="27" t="s">
        <v>8</v>
      </c>
      <c r="B9" s="27" t="s">
        <v>106</v>
      </c>
      <c r="C9" s="34">
        <v>0.83</v>
      </c>
      <c r="D9" s="27">
        <f>C9</f>
        <v>0.83</v>
      </c>
      <c r="E9" s="27"/>
    </row>
    <row r="10" spans="1:5" ht="13.5" thickBot="1">
      <c r="A10" s="86" t="s">
        <v>107</v>
      </c>
      <c r="B10" s="27" t="s">
        <v>105</v>
      </c>
      <c r="C10" s="33">
        <v>2.71</v>
      </c>
      <c r="D10" s="27">
        <f>C10/100</f>
        <v>0.0271</v>
      </c>
      <c r="E10" s="27"/>
    </row>
    <row r="11" spans="1:5" ht="13.5" thickBot="1">
      <c r="A11" s="27" t="s">
        <v>111</v>
      </c>
      <c r="B11" s="27" t="s">
        <v>112</v>
      </c>
      <c r="C11" s="34">
        <v>0.125</v>
      </c>
      <c r="D11" s="27">
        <f>C11/100</f>
        <v>0.00125</v>
      </c>
      <c r="E11" s="27"/>
    </row>
    <row r="12" spans="1:5" ht="13.5" thickBot="1">
      <c r="A12" s="27" t="s">
        <v>9</v>
      </c>
      <c r="B12" s="27" t="s">
        <v>105</v>
      </c>
      <c r="C12" s="33">
        <v>30</v>
      </c>
      <c r="D12" s="27">
        <f>C12/100</f>
        <v>0.3</v>
      </c>
      <c r="E12" s="27"/>
    </row>
    <row r="13" spans="1:5" ht="13.5" thickBot="1">
      <c r="A13" s="27" t="s">
        <v>14</v>
      </c>
      <c r="B13" s="27" t="s">
        <v>106</v>
      </c>
      <c r="C13" s="34">
        <v>0.25</v>
      </c>
      <c r="D13" s="27">
        <f>C13</f>
        <v>0.25</v>
      </c>
      <c r="E13" s="27"/>
    </row>
    <row r="14" spans="1:5" ht="13.5" thickBot="1">
      <c r="A14" s="27" t="s">
        <v>10</v>
      </c>
      <c r="B14" s="27" t="s">
        <v>106</v>
      </c>
      <c r="C14" s="34">
        <v>40</v>
      </c>
      <c r="D14" s="27">
        <f>C14/100</f>
        <v>0.4</v>
      </c>
      <c r="E14" s="27"/>
    </row>
    <row r="15" spans="1:5" ht="13.5" thickBot="1">
      <c r="A15" s="27" t="s">
        <v>11</v>
      </c>
      <c r="B15" s="27" t="s">
        <v>106</v>
      </c>
      <c r="C15" s="34">
        <v>60</v>
      </c>
      <c r="D15" s="27">
        <f>C15/100</f>
        <v>0.6</v>
      </c>
      <c r="E15" s="27"/>
    </row>
    <row r="16" spans="3:5" ht="13.5" thickBot="1">
      <c r="C16" s="87"/>
      <c r="E16" s="27"/>
    </row>
    <row r="17" spans="1:5" ht="13.5" thickBot="1">
      <c r="A17" s="88" t="s">
        <v>27</v>
      </c>
      <c r="B17" s="89">
        <f>D4+D10+D11</f>
        <v>0.059750000000000004</v>
      </c>
      <c r="E17" s="27"/>
    </row>
    <row r="18" spans="1:5" ht="13.5" thickBot="1">
      <c r="A18" s="88" t="s">
        <v>26</v>
      </c>
      <c r="B18" s="90">
        <f>D4+(D9*D7)</f>
        <v>0.0812</v>
      </c>
      <c r="E18" s="27"/>
    </row>
    <row r="19" spans="1:5" ht="13.5" thickBot="1">
      <c r="A19" s="30"/>
      <c r="B19" s="86"/>
      <c r="E19" s="27"/>
    </row>
    <row r="20" spans="1:5" ht="13.5" thickBot="1">
      <c r="A20" s="28" t="s">
        <v>29</v>
      </c>
      <c r="B20" s="90">
        <f>((1/(1-D12*(1-D13)))*(B18*D15))+(B17*D14)</f>
        <v>0.08676451612903226</v>
      </c>
      <c r="E20" s="27"/>
    </row>
    <row r="21" spans="1:5" ht="13.5" thickBot="1">
      <c r="A21" s="28" t="s">
        <v>28</v>
      </c>
      <c r="B21" s="91">
        <f>((1+B20)/(1+D5))-1</f>
        <v>0.05953447999320671</v>
      </c>
      <c r="E21" s="27"/>
    </row>
    <row r="24" ht="12.75">
      <c r="C24" s="30"/>
    </row>
  </sheetData>
  <sheetProtection password="88A8" sheet="1" formatCells="0" formatColumns="0" formatRows="0"/>
  <printOptions/>
  <pageMargins left="0.75" right="0.75" top="1" bottom="1" header="0.5" footer="0.5"/>
  <pageSetup horizontalDpi="600" verticalDpi="600" orientation="portrait" r:id="rId1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3" bestFit="1" customWidth="1"/>
    <col min="2" max="2" width="15.00390625" style="13" customWidth="1"/>
    <col min="3" max="3" width="22.140625" style="13" bestFit="1" customWidth="1"/>
    <col min="4" max="16384" width="9.140625" style="13" customWidth="1"/>
  </cols>
  <sheetData>
    <row r="1" spans="1:3" s="12" customFormat="1" ht="18.75" thickBot="1">
      <c r="A1" s="10" t="s">
        <v>98</v>
      </c>
      <c r="B1" s="51"/>
      <c r="C1" s="11"/>
    </row>
    <row r="2" ht="13.5" thickBot="1"/>
    <row r="3" spans="1:3" ht="13.5" thickBot="1">
      <c r="A3" s="13" t="s">
        <v>32</v>
      </c>
      <c r="C3" s="3">
        <v>121748821</v>
      </c>
    </row>
    <row r="4" spans="1:3" ht="13.5" thickBot="1">
      <c r="A4" s="13" t="s">
        <v>30</v>
      </c>
      <c r="C4" s="4">
        <v>159.6</v>
      </c>
    </row>
    <row r="5" ht="13.5" thickBot="1">
      <c r="C5" s="29"/>
    </row>
    <row r="6" spans="1:3" ht="13.5" thickBot="1">
      <c r="A6" s="13" t="s">
        <v>31</v>
      </c>
      <c r="C6" s="48">
        <f>C3/C4</f>
        <v>762837.2243107769</v>
      </c>
    </row>
    <row r="7" ht="13.5" thickBot="1">
      <c r="C7" s="29"/>
    </row>
    <row r="8" spans="1:3" ht="13.5" thickBot="1">
      <c r="A8" s="13" t="s">
        <v>70</v>
      </c>
      <c r="C8" s="38" t="s">
        <v>90</v>
      </c>
    </row>
    <row r="9" spans="1:3" s="23" customFormat="1" ht="13.5" thickBot="1">
      <c r="A9" s="24" t="s">
        <v>123</v>
      </c>
      <c r="B9" s="24"/>
      <c r="C9" s="35">
        <v>41090</v>
      </c>
    </row>
    <row r="10" spans="1:3" s="23" customFormat="1" ht="13.5" thickBot="1">
      <c r="A10" s="24" t="s">
        <v>124</v>
      </c>
      <c r="B10" s="24"/>
      <c r="C10" s="36">
        <v>42095</v>
      </c>
    </row>
    <row r="11" spans="4:5" ht="13.5" thickBot="1">
      <c r="D11" s="24"/>
      <c r="E11" s="24"/>
    </row>
    <row r="12" spans="1:3" ht="13.5" thickBot="1">
      <c r="A12" s="18" t="s">
        <v>143</v>
      </c>
      <c r="B12" s="102">
        <f>ESCALATION_FACTORS!$B$4</f>
        <v>41455</v>
      </c>
      <c r="C12" s="111">
        <f>VLOOKUP($C$8,ESCALATION_FACTORS!$A$5:$E$9,2,)</f>
        <v>0.0162</v>
      </c>
    </row>
    <row r="13" spans="1:3" ht="13.5" thickBot="1">
      <c r="A13" s="24"/>
      <c r="B13" s="102">
        <f>ESCALATION_FACTORS!$C$4</f>
        <v>41820</v>
      </c>
      <c r="C13" s="111">
        <f>VLOOKUP($C$8,ESCALATION_FACTORS!$A$5:$E$9,3,)</f>
        <v>0.0439</v>
      </c>
    </row>
    <row r="14" spans="1:3" ht="13.5" thickBot="1">
      <c r="A14" s="24"/>
      <c r="B14" s="102">
        <f>ESCALATION_FACTORS!$D$4</f>
        <v>42185</v>
      </c>
      <c r="C14" s="111">
        <f>VLOOKUP($C$8,ESCALATION_FACTORS!$A$5:$E$9,4,)</f>
        <v>0.0333</v>
      </c>
    </row>
    <row r="15" spans="1:5" s="23" customFormat="1" ht="13.5" thickBot="1">
      <c r="A15" s="24"/>
      <c r="B15" s="24"/>
      <c r="C15" s="24"/>
      <c r="D15" s="24"/>
      <c r="E15" s="24"/>
    </row>
    <row r="16" spans="1:3" ht="13.5" thickBot="1">
      <c r="A16" s="24" t="s">
        <v>98</v>
      </c>
      <c r="B16" s="24"/>
      <c r="C16" s="94">
        <f>C6*IF(C9&lt;=B12,(1+C12)^((MIN(C10,B12)-MAX(C9,DATE(YEAR(B12)-1,6,30)))/(B12-DATE(YEAR(B12)-1,6,30))),1)*IF(AND(C9&lt;=B13,C10&gt;=B12),(1+C13)^((MIN(C10,B13)-MAX(C9,B12))/(B13-B12)),1)*IF(C10&gt;=B13,(1+C14)^((C10-MAX(C9,B13))/(B14-B13)),1)</f>
        <v>829446.746731894</v>
      </c>
    </row>
  </sheetData>
  <sheetProtection password="88A8" sheet="1" formatCells="0" formatColumns="0" formatRow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3" bestFit="1" customWidth="1"/>
    <col min="2" max="16384" width="9.140625" style="13" customWidth="1"/>
  </cols>
  <sheetData>
    <row r="1" spans="1:2" s="12" customFormat="1" ht="18.75" thickBot="1">
      <c r="A1" s="10" t="s">
        <v>17</v>
      </c>
      <c r="B1" s="11"/>
    </row>
    <row r="2" ht="13.5" thickBot="1"/>
    <row r="3" spans="1:2" ht="13.5" thickBot="1">
      <c r="A3" s="18" t="s">
        <v>33</v>
      </c>
      <c r="B3" s="5">
        <v>0.1887</v>
      </c>
    </row>
  </sheetData>
  <sheetProtection password="88A8" sheet="1" formatCells="0" formatColumns="0" formatRow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13" customWidth="1"/>
    <col min="2" max="2" width="30.57421875" style="13" customWidth="1"/>
    <col min="3" max="16384" width="9.140625" style="13" customWidth="1"/>
  </cols>
  <sheetData>
    <row r="1" spans="1:2" s="23" customFormat="1" ht="18.75" thickBot="1">
      <c r="A1" s="10" t="s">
        <v>144</v>
      </c>
      <c r="B1" s="31"/>
    </row>
    <row r="2" ht="13.5" customHeight="1" thickBot="1"/>
    <row r="3" spans="1:2" ht="13.5" thickBot="1">
      <c r="A3" s="18" t="s">
        <v>114</v>
      </c>
      <c r="B3" s="6">
        <v>115124</v>
      </c>
    </row>
    <row r="4" ht="13.5" thickBot="1">
      <c r="A4" s="16"/>
    </row>
    <row r="5" spans="1:2" ht="12.75">
      <c r="A5" s="86" t="s">
        <v>113</v>
      </c>
      <c r="B5" s="39" t="s">
        <v>140</v>
      </c>
    </row>
    <row r="6" spans="1:2" s="23" customFormat="1" ht="13.5" thickBot="1">
      <c r="A6" s="24" t="s">
        <v>123</v>
      </c>
      <c r="B6" s="36">
        <v>42095</v>
      </c>
    </row>
    <row r="7" spans="1:2" s="23" customFormat="1" ht="13.5" thickBot="1">
      <c r="A7" s="24" t="s">
        <v>124</v>
      </c>
      <c r="B7" s="36">
        <v>42095</v>
      </c>
    </row>
    <row r="8" spans="3:4" ht="13.5" thickBot="1">
      <c r="C8" s="24"/>
      <c r="D8" s="24"/>
    </row>
    <row r="9" spans="1:2" ht="13.5" thickBot="1">
      <c r="A9" s="103" t="s">
        <v>71</v>
      </c>
      <c r="B9" s="104">
        <f>VLOOKUP(B5,ESCALATION_FACTORS!$A$5:$E$9,2,)</f>
        <v>-0.0291</v>
      </c>
    </row>
    <row r="10" ht="13.5" thickBot="1"/>
    <row r="11" spans="1:2" ht="13.5" thickBot="1">
      <c r="A11" s="18" t="s">
        <v>99</v>
      </c>
      <c r="B11" s="40">
        <f>B3*(1+B9)^((B7-B6)/365)</f>
        <v>115124</v>
      </c>
    </row>
  </sheetData>
  <sheetProtection password="88A8" sheet="1" formatCells="0" formatColumns="0" forma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4.57421875" style="13" customWidth="1"/>
    <col min="2" max="3" width="14.8515625" style="13" customWidth="1"/>
    <col min="4" max="4" width="11.140625" style="13" bestFit="1" customWidth="1"/>
    <col min="5" max="5" width="9.140625" style="13" customWidth="1"/>
    <col min="6" max="7" width="11.140625" style="13" bestFit="1" customWidth="1"/>
    <col min="8" max="16384" width="9.140625" style="13" customWidth="1"/>
  </cols>
  <sheetData>
    <row r="1" spans="1:3" s="23" customFormat="1" ht="18.75" thickBot="1">
      <c r="A1" s="119" t="s">
        <v>101</v>
      </c>
      <c r="B1" s="121"/>
      <c r="C1" s="120"/>
    </row>
    <row r="3" ht="12.75">
      <c r="A3" s="70" t="s">
        <v>121</v>
      </c>
    </row>
    <row r="4" ht="13.5" thickBot="1"/>
    <row r="5" spans="1:3" ht="13.5" thickBot="1">
      <c r="A5" s="13" t="s">
        <v>34</v>
      </c>
      <c r="C5" s="37">
        <v>5812800</v>
      </c>
    </row>
    <row r="6" spans="1:7" ht="31.5" customHeight="1" thickBot="1">
      <c r="A6" s="93" t="s">
        <v>120</v>
      </c>
      <c r="C6" s="37">
        <v>743800</v>
      </c>
      <c r="D6" s="21"/>
      <c r="F6" s="21"/>
      <c r="G6" s="21"/>
    </row>
    <row r="7" ht="13.5" thickBot="1">
      <c r="C7" s="21"/>
    </row>
    <row r="8" spans="1:3" ht="13.5" thickBot="1">
      <c r="A8" s="18" t="s">
        <v>125</v>
      </c>
      <c r="C8" s="94">
        <f>SUM(C5:C6)</f>
        <v>6556600</v>
      </c>
    </row>
    <row r="9" spans="1:4" s="23" customFormat="1" ht="13.5" thickBot="1">
      <c r="A9" s="24"/>
      <c r="B9" s="24"/>
      <c r="C9" s="24"/>
      <c r="D9" s="24"/>
    </row>
    <row r="10" spans="1:3" ht="13.5" thickBot="1">
      <c r="A10" s="18" t="s">
        <v>70</v>
      </c>
      <c r="C10" s="38" t="s">
        <v>69</v>
      </c>
    </row>
    <row r="11" spans="1:3" s="23" customFormat="1" ht="13.5" thickBot="1">
      <c r="A11" s="24" t="s">
        <v>123</v>
      </c>
      <c r="C11" s="35">
        <v>41090</v>
      </c>
    </row>
    <row r="12" spans="1:3" s="23" customFormat="1" ht="13.5" thickBot="1">
      <c r="A12" s="24" t="s">
        <v>124</v>
      </c>
      <c r="C12" s="36">
        <v>42095</v>
      </c>
    </row>
    <row r="13" spans="2:4" ht="13.5" thickBot="1">
      <c r="B13" s="24"/>
      <c r="D13" s="24"/>
    </row>
    <row r="14" spans="1:3" ht="13.5" thickBot="1">
      <c r="A14" s="18" t="s">
        <v>143</v>
      </c>
      <c r="B14" s="102">
        <f>ESCALATION_FACTORS!$B$4</f>
        <v>41455</v>
      </c>
      <c r="C14" s="111">
        <f>VLOOKUP($C$10,ESCALATION_FACTORS!$A$5:$E$9,2,)</f>
        <v>0.0325</v>
      </c>
    </row>
    <row r="15" spans="1:4" s="23" customFormat="1" ht="13.5" thickBot="1">
      <c r="A15" s="24"/>
      <c r="B15" s="102">
        <f>ESCALATION_FACTORS!$C$4</f>
        <v>41820</v>
      </c>
      <c r="C15" s="111">
        <f>VLOOKUP($C$10,ESCALATION_FACTORS!$A$5:$E$9,3,)</f>
        <v>0.025</v>
      </c>
      <c r="D15" s="24"/>
    </row>
    <row r="16" spans="1:4" s="23" customFormat="1" ht="13.5" thickBot="1">
      <c r="A16" s="24"/>
      <c r="B16" s="102">
        <f>ESCALATION_FACTORS!$D$4</f>
        <v>42185</v>
      </c>
      <c r="C16" s="111">
        <f>VLOOKUP($C$10,ESCALATION_FACTORS!$A$5:$E$9,4,)</f>
        <v>0.025</v>
      </c>
      <c r="D16" s="24"/>
    </row>
    <row r="17" spans="1:4" s="23" customFormat="1" ht="13.5" thickBot="1">
      <c r="A17" s="24"/>
      <c r="B17" s="24"/>
      <c r="C17" s="24"/>
      <c r="D17" s="24"/>
    </row>
    <row r="18" spans="1:3" ht="13.5" thickBot="1">
      <c r="A18" s="18" t="s">
        <v>101</v>
      </c>
      <c r="C18" s="94">
        <f>C8*IF(C11&lt;=B14,(1+C14)^((MIN(C12,B14)-MAX(C11,DATE(YEAR(B14)-1,6,30)))/(B14-DATE(YEAR(B14)-1,6,30))),1)*IF(AND(C11&lt;=B15,C12&gt;=B14),(1+C15)^((MIN(C12,B15)-MAX(C11,B14))/(B15-B14)),1)*IF(C12&gt;=B15,(1+C16)^((C12-MAX(C11,B15))/(B16-B15)),1)</f>
        <v>7069232.081568794</v>
      </c>
    </row>
  </sheetData>
  <sheetProtection password="88A8" sheet="1" formatCells="0" formatColumns="0" formatRows="0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Street</dc:creator>
  <cp:keywords/>
  <dc:description/>
  <cp:lastModifiedBy>Greg Ruthven</cp:lastModifiedBy>
  <cp:lastPrinted>2010-11-15T04:26:28Z</cp:lastPrinted>
  <dcterms:created xsi:type="dcterms:W3CDTF">2008-08-08T07:52:00Z</dcterms:created>
  <dcterms:modified xsi:type="dcterms:W3CDTF">2013-01-29T04:28:54Z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</Properties>
</file>