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0080" windowHeight="4230" activeTab="6"/>
  </bookViews>
  <sheets>
    <sheet name="NSW" sheetId="1" r:id="rId1"/>
    <sheet name="QLD" sheetId="2" r:id="rId2"/>
    <sheet name="SA" sheetId="3" r:id="rId3"/>
    <sheet name="TAS" sheetId="4" r:id="rId4"/>
    <sheet name="VIC" sheetId="5" r:id="rId5"/>
    <sheet name="Region" sheetId="6" r:id="rId6"/>
    <sheet name="MCL" sheetId="7" r:id="rId7"/>
    <sheet name="Misc" sheetId="8" r:id="rId8"/>
  </sheets>
  <definedNames>
    <definedName name="GST">'Misc'!$B$3</definedName>
    <definedName name="NSW_EG">'NSW'!$G$5</definedName>
    <definedName name="NSW_EL">'NSW'!$B$5</definedName>
    <definedName name="NSW_P">'Region'!$G$5</definedName>
    <definedName name="NSW_PCS">'NSW'!$B$64</definedName>
    <definedName name="NSW_PDS">'NSW'!$B$63</definedName>
    <definedName name="NSW_PHH">'Region'!$G$10</definedName>
    <definedName name="NSW_PHHC">'Region'!$L$10</definedName>
    <definedName name="NSW_PRAFG">'NSW'!$G$58</definedName>
    <definedName name="NSW_PRAFL">'NSW'!$B$58</definedName>
    <definedName name="NSW_PRAFR">'NSW'!$L$58</definedName>
    <definedName name="NSW_PRAFRC">'NSW'!$M$58</definedName>
    <definedName name="NSW_RC">'NSW'!$I$5</definedName>
    <definedName name="NSW_RCC">'NSW'!$K$5</definedName>
    <definedName name="NSW_RCD">'NSW'!$B$62</definedName>
    <definedName name="NSW_RCS">'NSW'!$J$5</definedName>
    <definedName name="NSW_RD">'NSW'!$D$5</definedName>
    <definedName name="NSW_RDC">'NSW'!$F$5</definedName>
    <definedName name="NSW_RDD">'NSW'!$B$61</definedName>
    <definedName name="NSW_RDS">'NSW'!$E$5</definedName>
    <definedName name="NSW_RLWP">'Region'!$G$58</definedName>
    <definedName name="NSW_RLWPC">'Region'!$L$58</definedName>
    <definedName name="NSW_VFOSL">'Region'!$C$61</definedName>
    <definedName name="NSW_VFPM">'Region'!$C$62</definedName>
    <definedName name="QLD_EG">'QLD'!$G$5</definedName>
    <definedName name="QLD_EL">'QLD'!$B$5</definedName>
    <definedName name="QLD_LFG">'QLD'!#REF!</definedName>
    <definedName name="QLD_LFL">'QLD'!#REF!</definedName>
    <definedName name="QLD_P">'Region'!$H$5</definedName>
    <definedName name="QLD_PCS">'QLD'!$B$64</definedName>
    <definedName name="QLD_PDS">'QLD'!$B$63</definedName>
    <definedName name="QLD_PHH">'Region'!$H$10</definedName>
    <definedName name="QLD_PHHC">'Region'!$M$10</definedName>
    <definedName name="QLD_PRAFG">'QLD'!$G$58</definedName>
    <definedName name="QLD_PRAFL">'QLD'!$B$58</definedName>
    <definedName name="QLD_PRAFR">'QLD'!$L$58</definedName>
    <definedName name="QLD_PRAFRC">'QLD'!$M$58</definedName>
    <definedName name="QLD_RC">'QLD'!$I$5</definedName>
    <definedName name="QLD_RCC">'QLD'!$K$5</definedName>
    <definedName name="QLD_RCD">'QLD'!$B$62</definedName>
    <definedName name="QLD_RCS">'QLD'!$J$5</definedName>
    <definedName name="QLD_RD">'QLD'!$D$5</definedName>
    <definedName name="QLD_RDC">'QLD'!$F$5</definedName>
    <definedName name="QLD_RDD">'QLD'!$B$61</definedName>
    <definedName name="QLD_RDS">'QLD'!$E$5</definedName>
    <definedName name="QLD_RLWP">'Region'!$H$58</definedName>
    <definedName name="QLD_RLWPC">'Region'!$M$58</definedName>
    <definedName name="QLD_VFOSL">'Region'!$D$61</definedName>
    <definedName name="QLD_VFPM">'Region'!$D$62</definedName>
    <definedName name="SA_EG">'SA'!$G$5</definedName>
    <definedName name="SA_EL">'SA'!$B$5</definedName>
    <definedName name="SA_P">'Region'!$I$5</definedName>
    <definedName name="SA_PCS">'SA'!$B$64</definedName>
    <definedName name="SA_PDS">'SA'!$B$63</definedName>
    <definedName name="SA_PHH">'Region'!$I$10</definedName>
    <definedName name="SA_PHHC">'Region'!$N$10</definedName>
    <definedName name="SA_PRAFG">'SA'!$G$58</definedName>
    <definedName name="SA_PRAFL">'SA'!$B$58</definedName>
    <definedName name="SA_PRAFR">'SA'!$L$58</definedName>
    <definedName name="SA_PRAFRC">'SA'!$M$58</definedName>
    <definedName name="SA_RC">'SA'!$I$5</definedName>
    <definedName name="SA_RCC">'SA'!$K$5</definedName>
    <definedName name="SA_RCD">'SA'!$B$62</definedName>
    <definedName name="SA_RCS">'SA'!$J$5</definedName>
    <definedName name="SA_RD">'SA'!$D$5</definedName>
    <definedName name="SA_RDC">'SA'!$F$5</definedName>
    <definedName name="SA_RDD">'SA'!$B$61</definedName>
    <definedName name="SA_RDS">'SA'!$E$5</definedName>
    <definedName name="SA_RLWP">'Region'!$I$58</definedName>
    <definedName name="SA_RLWPC">'Region'!$N$58</definedName>
    <definedName name="SA_VFOSL">'Region'!$E$61</definedName>
    <definedName name="SA_VFPM">'Region'!$E$62</definedName>
    <definedName name="TAS_EG">'TAS'!$G$5</definedName>
    <definedName name="TAS_EL">'TAS'!$B$5</definedName>
    <definedName name="TAS_P">'Region'!$J$5</definedName>
    <definedName name="TAS_PCS">'TAS'!$B$64</definedName>
    <definedName name="TAS_PDS">'TAS'!$B$63</definedName>
    <definedName name="TAS_PHH">'Region'!$J$10</definedName>
    <definedName name="TAS_PHHC">'Region'!$O$10</definedName>
    <definedName name="TAS_PRAFG">'TAS'!$G$58</definedName>
    <definedName name="TAS_PRAFL">'TAS'!$B$58</definedName>
    <definedName name="TAS_PRAFR">'TAS'!$L$58</definedName>
    <definedName name="TAS_PRAFRC">'TAS'!$M$58</definedName>
    <definedName name="TAS_RC">'TAS'!$I$5</definedName>
    <definedName name="TAS_RCC">'TAS'!$K$5</definedName>
    <definedName name="TAS_RCD">'TAS'!$B$62</definedName>
    <definedName name="TAS_RCS">'TAS'!$J$5</definedName>
    <definedName name="TAS_RD">'TAS'!$D$5</definedName>
    <definedName name="TAS_RDC">'TAS'!$F$5</definedName>
    <definedName name="TAS_RDD">'TAS'!$B$61</definedName>
    <definedName name="TAS_RDS">'TAS'!$E$5</definedName>
    <definedName name="TAS_RLWP">'Region'!$J$58</definedName>
    <definedName name="TAS_RLWPC">'Region'!$O$58</definedName>
    <definedName name="TAS_VFOSL">'Region'!$F$61</definedName>
    <definedName name="TAS_VFPM">'Region'!$F$62</definedName>
    <definedName name="TOSL">'Misc'!$B$1</definedName>
    <definedName name="TRP">'Misc'!$B$2</definedName>
    <definedName name="VIC_EG">'VIC'!$G$5</definedName>
    <definedName name="VIC_EL">'VIC'!$B$5</definedName>
    <definedName name="VIC_P">'Region'!$K$5</definedName>
    <definedName name="VIC_PCS">'VIC'!$B$64</definedName>
    <definedName name="VIC_PDS">'VIC'!$B$63</definedName>
    <definedName name="VIC_PHH">'Region'!$K$10</definedName>
    <definedName name="VIC_PHHC">'Region'!$P$10</definedName>
    <definedName name="VIC_PRAFG">'VIC'!$G$58</definedName>
    <definedName name="VIC_PRAFL">'VIC'!$B$58</definedName>
    <definedName name="VIC_PRAFR">'VIC'!$L$58</definedName>
    <definedName name="VIC_PRAFRC">'VIC'!$M$58</definedName>
    <definedName name="VIC_RC">'VIC'!$I$5</definedName>
    <definedName name="VIC_RCC">'VIC'!$K$5</definedName>
    <definedName name="VIC_RCD">'VIC'!$B$62</definedName>
    <definedName name="VIC_RCS">'VIC'!$J$5</definedName>
    <definedName name="VIC_RD">'VIC'!$D$5</definedName>
    <definedName name="VIC_RDC">'VIC'!$F$5</definedName>
    <definedName name="VIC_RDD">'VIC'!$B$61</definedName>
    <definedName name="VIC_RDS">'VIC'!$E$5</definedName>
    <definedName name="VIC_RLWP">'Region'!$K$58</definedName>
    <definedName name="VIC_RLWPC">'Region'!$P$58</definedName>
    <definedName name="VIC_VFOSL">'Region'!$G$61</definedName>
    <definedName name="VIC_VFPM">'Region'!$G$62</definedName>
  </definedNames>
  <calcPr calcMode="autoNoTable" fullCalcOnLoad="1"/>
</workbook>
</file>

<file path=xl/sharedStrings.xml><?xml version="1.0" encoding="utf-8"?>
<sst xmlns="http://schemas.openxmlformats.org/spreadsheetml/2006/main" count="332" uniqueCount="88">
  <si>
    <t>NSW</t>
  </si>
  <si>
    <t>QLD</t>
  </si>
  <si>
    <t>SA</t>
  </si>
  <si>
    <t>TAS</t>
  </si>
  <si>
    <t>VIC</t>
  </si>
  <si>
    <t>Load</t>
  </si>
  <si>
    <t>Generation</t>
  </si>
  <si>
    <t>Debit energy reallocations</t>
  </si>
  <si>
    <t>Debit swap reallocations</t>
  </si>
  <si>
    <t>Debit cap reallocations</t>
  </si>
  <si>
    <t>Credit energy reallocations</t>
  </si>
  <si>
    <t>Credit swap reallocations</t>
  </si>
  <si>
    <t>Credit cap reallocations</t>
  </si>
  <si>
    <t>Average daily value</t>
  </si>
  <si>
    <t>Participant data</t>
  </si>
  <si>
    <t>Regional data</t>
  </si>
  <si>
    <t>Price</t>
  </si>
  <si>
    <t>Outstandings volatility factor</t>
  </si>
  <si>
    <t>Prudential margin volatility factor</t>
  </si>
  <si>
    <t>Profile by half hour</t>
  </si>
  <si>
    <t>Cap value</t>
  </si>
  <si>
    <t>Capped price</t>
  </si>
  <si>
    <t>Regional load</t>
  </si>
  <si>
    <t>GST</t>
  </si>
  <si>
    <r>
      <t>VEL</t>
    </r>
    <r>
      <rPr>
        <b/>
        <vertAlign val="subscript"/>
        <sz val="10"/>
        <rFont val="Arial"/>
        <family val="2"/>
      </rPr>
      <t>R</t>
    </r>
  </si>
  <si>
    <r>
      <t>VEG</t>
    </r>
    <r>
      <rPr>
        <b/>
        <vertAlign val="subscript"/>
        <sz val="10"/>
        <rFont val="Arial"/>
        <family val="2"/>
      </rPr>
      <t>R</t>
    </r>
  </si>
  <si>
    <t>Debit reallocations</t>
  </si>
  <si>
    <t>Energy</t>
  </si>
  <si>
    <t>Swap</t>
  </si>
  <si>
    <t>Cap</t>
  </si>
  <si>
    <r>
      <t>VRD</t>
    </r>
    <r>
      <rPr>
        <b/>
        <vertAlign val="subscript"/>
        <sz val="10"/>
        <rFont val="Arial"/>
        <family val="2"/>
      </rPr>
      <t>R</t>
    </r>
  </si>
  <si>
    <t>Credit reallocations</t>
  </si>
  <si>
    <r>
      <t>VRC</t>
    </r>
    <r>
      <rPr>
        <b/>
        <vertAlign val="subscript"/>
        <sz val="10"/>
        <rFont val="Arial"/>
        <family val="2"/>
      </rPr>
      <t>R</t>
    </r>
  </si>
  <si>
    <t>Outstandings limit</t>
  </si>
  <si>
    <t>OSL</t>
  </si>
  <si>
    <t>PM</t>
  </si>
  <si>
    <t>MCL</t>
  </si>
  <si>
    <t>Prudential margin</t>
  </si>
  <si>
    <t>Total</t>
  </si>
  <si>
    <r>
      <t>RC$</t>
    </r>
    <r>
      <rPr>
        <b/>
        <vertAlign val="subscript"/>
        <sz val="10"/>
        <rFont val="Arial"/>
        <family val="2"/>
      </rPr>
      <t>R</t>
    </r>
  </si>
  <si>
    <r>
      <t>RD$</t>
    </r>
    <r>
      <rPr>
        <b/>
        <vertAlign val="subscript"/>
        <sz val="10"/>
        <rFont val="Arial"/>
        <family val="2"/>
      </rPr>
      <t>R</t>
    </r>
  </si>
  <si>
    <t>Net load</t>
  </si>
  <si>
    <t>Net reallocations</t>
  </si>
  <si>
    <t>PRAF</t>
  </si>
  <si>
    <t>Swap price (debit) (PDS)</t>
  </si>
  <si>
    <t>Swap price (credit) (PCS)</t>
  </si>
  <si>
    <t>Net Energy and Swap Reallocations</t>
  </si>
  <si>
    <t>Net Cap Reallocations</t>
  </si>
  <si>
    <r>
      <t>EL</t>
    </r>
    <r>
      <rPr>
        <b/>
        <vertAlign val="subscript"/>
        <sz val="12"/>
        <color indexed="8"/>
        <rFont val="Calibri"/>
        <family val="2"/>
      </rPr>
      <t>R</t>
    </r>
  </si>
  <si>
    <r>
      <t>RD</t>
    </r>
    <r>
      <rPr>
        <b/>
        <vertAlign val="subscript"/>
        <sz val="12"/>
        <color indexed="8"/>
        <rFont val="Calibri"/>
        <family val="2"/>
      </rPr>
      <t>R</t>
    </r>
  </si>
  <si>
    <r>
      <t>RDS</t>
    </r>
    <r>
      <rPr>
        <b/>
        <vertAlign val="subscript"/>
        <sz val="12"/>
        <color indexed="8"/>
        <rFont val="Calibri"/>
        <family val="2"/>
      </rPr>
      <t>R</t>
    </r>
  </si>
  <si>
    <r>
      <t>RDC</t>
    </r>
    <r>
      <rPr>
        <b/>
        <vertAlign val="subscript"/>
        <sz val="12"/>
        <color indexed="8"/>
        <rFont val="Calibri"/>
        <family val="2"/>
      </rPr>
      <t>R,C</t>
    </r>
  </si>
  <si>
    <r>
      <t>EG</t>
    </r>
    <r>
      <rPr>
        <b/>
        <vertAlign val="subscript"/>
        <sz val="12"/>
        <color indexed="8"/>
        <rFont val="Calibri"/>
        <family val="2"/>
      </rPr>
      <t>R</t>
    </r>
  </si>
  <si>
    <r>
      <t>RC</t>
    </r>
    <r>
      <rPr>
        <b/>
        <vertAlign val="subscript"/>
        <sz val="12"/>
        <color indexed="8"/>
        <rFont val="Calibri"/>
        <family val="2"/>
      </rPr>
      <t>R</t>
    </r>
  </si>
  <si>
    <r>
      <t>RCS</t>
    </r>
    <r>
      <rPr>
        <b/>
        <vertAlign val="subscript"/>
        <sz val="12"/>
        <color indexed="8"/>
        <rFont val="Calibri"/>
        <family val="2"/>
      </rPr>
      <t>R</t>
    </r>
  </si>
  <si>
    <r>
      <t>RCC</t>
    </r>
    <r>
      <rPr>
        <b/>
        <vertAlign val="subscript"/>
        <sz val="12"/>
        <color indexed="8"/>
        <rFont val="Calibri"/>
        <family val="2"/>
      </rPr>
      <t>R,C</t>
    </r>
  </si>
  <si>
    <r>
      <t>EL</t>
    </r>
    <r>
      <rPr>
        <b/>
        <vertAlign val="subscript"/>
        <sz val="12"/>
        <color indexed="8"/>
        <rFont val="Calibri"/>
        <family val="2"/>
      </rPr>
      <t>HH,M,R</t>
    </r>
  </si>
  <si>
    <r>
      <t>EL</t>
    </r>
    <r>
      <rPr>
        <b/>
        <vertAlign val="subscript"/>
        <sz val="12"/>
        <color indexed="8"/>
        <rFont val="Calibri"/>
        <family val="2"/>
      </rPr>
      <t>HH,R</t>
    </r>
  </si>
  <si>
    <r>
      <t>EG</t>
    </r>
    <r>
      <rPr>
        <b/>
        <vertAlign val="subscript"/>
        <sz val="12"/>
        <color indexed="8"/>
        <rFont val="Calibri"/>
        <family val="2"/>
      </rPr>
      <t>HH,M,R</t>
    </r>
  </si>
  <si>
    <r>
      <t>EG</t>
    </r>
    <r>
      <rPr>
        <b/>
        <vertAlign val="subscript"/>
        <sz val="12"/>
        <color indexed="8"/>
        <rFont val="Calibri"/>
        <family val="2"/>
      </rPr>
      <t>HH,R</t>
    </r>
  </si>
  <si>
    <r>
      <t>RD</t>
    </r>
    <r>
      <rPr>
        <b/>
        <vertAlign val="subscript"/>
        <sz val="12"/>
        <color indexed="8"/>
        <rFont val="Calibri"/>
        <family val="2"/>
      </rPr>
      <t>HH,R</t>
    </r>
  </si>
  <si>
    <r>
      <t>RDS</t>
    </r>
    <r>
      <rPr>
        <b/>
        <vertAlign val="subscript"/>
        <sz val="12"/>
        <color indexed="8"/>
        <rFont val="Calibri"/>
        <family val="2"/>
      </rPr>
      <t>HH,R</t>
    </r>
  </si>
  <si>
    <r>
      <t>RDC</t>
    </r>
    <r>
      <rPr>
        <b/>
        <vertAlign val="subscript"/>
        <sz val="12"/>
        <color indexed="8"/>
        <rFont val="Calibri"/>
        <family val="2"/>
      </rPr>
      <t>HH,R</t>
    </r>
  </si>
  <si>
    <r>
      <t>RC</t>
    </r>
    <r>
      <rPr>
        <b/>
        <vertAlign val="subscript"/>
        <sz val="12"/>
        <color indexed="8"/>
        <rFont val="Calibri"/>
        <family val="2"/>
      </rPr>
      <t>HH,R</t>
    </r>
  </si>
  <si>
    <r>
      <t>RCS</t>
    </r>
    <r>
      <rPr>
        <b/>
        <vertAlign val="subscript"/>
        <sz val="12"/>
        <color indexed="8"/>
        <rFont val="Calibri"/>
        <family val="2"/>
      </rPr>
      <t>HH,R</t>
    </r>
  </si>
  <si>
    <r>
      <t>RCC</t>
    </r>
    <r>
      <rPr>
        <b/>
        <vertAlign val="subscript"/>
        <sz val="12"/>
        <color indexed="8"/>
        <rFont val="Calibri"/>
        <family val="2"/>
      </rPr>
      <t>HH,R</t>
    </r>
  </si>
  <si>
    <t>Load weighted price (PLWP)</t>
  </si>
  <si>
    <t>Load Weighted Price Ratio (LWPR)</t>
  </si>
  <si>
    <t>PLWP</t>
  </si>
  <si>
    <t>LWPR</t>
  </si>
  <si>
    <r>
      <t>RD$</t>
    </r>
    <r>
      <rPr>
        <b/>
        <vertAlign val="subscript"/>
        <sz val="12"/>
        <color indexed="8"/>
        <rFont val="Calibri"/>
        <family val="2"/>
      </rPr>
      <t>R</t>
    </r>
  </si>
  <si>
    <r>
      <t>RC$</t>
    </r>
    <r>
      <rPr>
        <b/>
        <vertAlign val="subscript"/>
        <sz val="12"/>
        <color indexed="8"/>
        <rFont val="Calibri"/>
        <family val="2"/>
      </rPr>
      <t>R</t>
    </r>
  </si>
  <si>
    <r>
      <t>VFOSL</t>
    </r>
    <r>
      <rPr>
        <b/>
        <vertAlign val="subscript"/>
        <sz val="12"/>
        <color indexed="8"/>
        <rFont val="Calibri"/>
        <family val="2"/>
      </rPr>
      <t>R</t>
    </r>
  </si>
  <si>
    <r>
      <t>VFPM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</si>
  <si>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R</t>
    </r>
  </si>
  <si>
    <t>Regional load weighted price (RLWP)</t>
  </si>
  <si>
    <r>
      <t>OSL</t>
    </r>
    <r>
      <rPr>
        <b/>
        <vertAlign val="subscript"/>
        <sz val="14"/>
        <color indexed="8"/>
        <rFont val="Calibri"/>
        <family val="2"/>
      </rPr>
      <t>R,U</t>
    </r>
  </si>
  <si>
    <r>
      <t>OSL</t>
    </r>
    <r>
      <rPr>
        <b/>
        <vertAlign val="subscript"/>
        <sz val="14"/>
        <color indexed="8"/>
        <rFont val="Calibri"/>
        <family val="2"/>
      </rPr>
      <t>R,I</t>
    </r>
  </si>
  <si>
    <t>Dollar Reallocations</t>
  </si>
  <si>
    <r>
      <t>T</t>
    </r>
    <r>
      <rPr>
        <b/>
        <vertAlign val="subscript"/>
        <sz val="14"/>
        <rFont val="Arial"/>
        <family val="2"/>
      </rPr>
      <t>OSL</t>
    </r>
  </si>
  <si>
    <r>
      <t>T</t>
    </r>
    <r>
      <rPr>
        <b/>
        <vertAlign val="subscript"/>
        <sz val="14"/>
        <rFont val="Arial"/>
        <family val="2"/>
      </rPr>
      <t>RP</t>
    </r>
  </si>
  <si>
    <t>These parameters can be changed to understand impact of differing VFs</t>
  </si>
  <si>
    <r>
      <t>ERL</t>
    </r>
    <r>
      <rPr>
        <b/>
        <vertAlign val="subscript"/>
        <sz val="12"/>
        <color indexed="8"/>
        <rFont val="Calibri"/>
        <family val="2"/>
      </rPr>
      <t>HH,R</t>
    </r>
  </si>
  <si>
    <r>
      <t>ERL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</si>
  <si>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HH,R</t>
    </r>
  </si>
  <si>
    <r>
      <t>P</t>
    </r>
    <r>
      <rPr>
        <b/>
        <vertAlign val="subscript"/>
        <sz val="12"/>
        <color indexed="8"/>
        <rFont val="Calibri"/>
        <family val="2"/>
      </rPr>
      <t>HH,R,C</t>
    </r>
  </si>
  <si>
    <t>These parameters can be changed to understand the impact of differing prices</t>
  </si>
  <si>
    <t>The calculator illustrates the impact of a $100 Cap reallocation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</si>
</sst>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b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i/>
      <sz val="11"/>
      <color indexed="49"/>
      <name val="Calibri"/>
      <family val="2"/>
    </font>
    <font>
      <b/>
      <i/>
      <sz val="11"/>
      <color indexed="49"/>
      <name val="Calibri"/>
      <family val="2"/>
    </font>
    <font>
      <b/>
      <i/>
      <sz val="12"/>
      <color indexed="4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  <font>
      <i/>
      <sz val="11"/>
      <color theme="8" tint="-0.24997000396251678"/>
      <name val="Calibri"/>
      <family val="2"/>
    </font>
    <font>
      <b/>
      <i/>
      <sz val="11"/>
      <color theme="8" tint="-0.24997000396251678"/>
      <name val="Calibri"/>
      <family val="2"/>
    </font>
    <font>
      <b/>
      <i/>
      <sz val="12"/>
      <color theme="8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52" fillId="0" borderId="0" xfId="0" applyFont="1" applyAlignment="1">
      <alignment horizontal="right"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2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53" fillId="0" borderId="0" xfId="0" applyFont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53" fillId="0" borderId="0" xfId="0" applyFont="1" applyAlignment="1">
      <alignment/>
    </xf>
    <xf numFmtId="2" fontId="51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18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0" fontId="0" fillId="33" borderId="20" xfId="0" applyFill="1" applyBorder="1" applyAlignment="1">
      <alignment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2" fontId="0" fillId="33" borderId="23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3" fontId="0" fillId="33" borderId="24" xfId="0" applyNumberFormat="1" applyFill="1" applyBorder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3" fontId="53" fillId="34" borderId="10" xfId="0" applyNumberFormat="1" applyFont="1" applyFill="1" applyBorder="1" applyAlignment="1">
      <alignment/>
    </xf>
    <xf numFmtId="3" fontId="53" fillId="34" borderId="11" xfId="0" applyNumberFormat="1" applyFont="1" applyFill="1" applyBorder="1" applyAlignment="1">
      <alignment/>
    </xf>
    <xf numFmtId="3" fontId="53" fillId="34" borderId="12" xfId="0" applyNumberFormat="1" applyFont="1" applyFill="1" applyBorder="1" applyAlignment="1">
      <alignment/>
    </xf>
    <xf numFmtId="3" fontId="53" fillId="34" borderId="17" xfId="0" applyNumberFormat="1" applyFont="1" applyFill="1" applyBorder="1" applyAlignment="1">
      <alignment/>
    </xf>
    <xf numFmtId="3" fontId="53" fillId="34" borderId="18" xfId="0" applyNumberFormat="1" applyFont="1" applyFill="1" applyBorder="1" applyAlignment="1">
      <alignment/>
    </xf>
    <xf numFmtId="3" fontId="53" fillId="34" borderId="19" xfId="0" applyNumberFormat="1" applyFont="1" applyFill="1" applyBorder="1" applyAlignment="1">
      <alignment/>
    </xf>
    <xf numFmtId="3" fontId="53" fillId="34" borderId="20" xfId="0" applyNumberFormat="1" applyFont="1" applyFill="1" applyBorder="1" applyAlignment="1">
      <alignment/>
    </xf>
    <xf numFmtId="3" fontId="53" fillId="34" borderId="0" xfId="0" applyNumberFormat="1" applyFont="1" applyFill="1" applyBorder="1" applyAlignment="1">
      <alignment/>
    </xf>
    <xf numFmtId="3" fontId="53" fillId="34" borderId="21" xfId="0" applyNumberFormat="1" applyFont="1" applyFill="1" applyBorder="1" applyAlignment="1">
      <alignment/>
    </xf>
    <xf numFmtId="3" fontId="53" fillId="34" borderId="22" xfId="0" applyNumberFormat="1" applyFont="1" applyFill="1" applyBorder="1" applyAlignment="1">
      <alignment/>
    </xf>
    <xf numFmtId="3" fontId="53" fillId="34" borderId="23" xfId="0" applyNumberFormat="1" applyFont="1" applyFill="1" applyBorder="1" applyAlignment="1">
      <alignment/>
    </xf>
    <xf numFmtId="3" fontId="53" fillId="34" borderId="24" xfId="0" applyNumberFormat="1" applyFont="1" applyFill="1" applyBorder="1" applyAlignment="1">
      <alignment/>
    </xf>
    <xf numFmtId="3" fontId="53" fillId="34" borderId="15" xfId="0" applyNumberFormat="1" applyFont="1" applyFill="1" applyBorder="1" applyAlignment="1">
      <alignment/>
    </xf>
    <xf numFmtId="3" fontId="53" fillId="34" borderId="16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right"/>
    </xf>
    <xf numFmtId="0" fontId="56" fillId="0" borderId="0" xfId="0" applyFont="1" applyAlignment="1">
      <alignment/>
    </xf>
    <xf numFmtId="3" fontId="53" fillId="34" borderId="13" xfId="0" applyNumberFormat="1" applyFont="1" applyFill="1" applyBorder="1" applyAlignment="1">
      <alignment/>
    </xf>
    <xf numFmtId="2" fontId="53" fillId="0" borderId="10" xfId="0" applyNumberFormat="1" applyFont="1" applyFill="1" applyBorder="1" applyAlignment="1">
      <alignment/>
    </xf>
    <xf numFmtId="2" fontId="53" fillId="0" borderId="11" xfId="0" applyNumberFormat="1" applyFont="1" applyFill="1" applyBorder="1" applyAlignment="1">
      <alignment/>
    </xf>
    <xf numFmtId="2" fontId="53" fillId="0" borderId="12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53" fillId="0" borderId="0" xfId="0" applyFont="1" applyFill="1" applyAlignment="1">
      <alignment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57" fillId="0" borderId="0" xfId="0" applyFont="1" applyAlignment="1">
      <alignment vertical="center"/>
    </xf>
    <xf numFmtId="4" fontId="58" fillId="13" borderId="10" xfId="0" applyNumberFormat="1" applyFont="1" applyFill="1" applyBorder="1" applyAlignment="1">
      <alignment/>
    </xf>
    <xf numFmtId="4" fontId="58" fillId="13" borderId="11" xfId="0" applyNumberFormat="1" applyFont="1" applyFill="1" applyBorder="1" applyAlignment="1">
      <alignment/>
    </xf>
    <xf numFmtId="4" fontId="58" fillId="13" borderId="12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164" fontId="59" fillId="35" borderId="17" xfId="0" applyNumberFormat="1" applyFont="1" applyFill="1" applyBorder="1" applyAlignment="1">
      <alignment vertical="center" wrapText="1"/>
    </xf>
    <xf numFmtId="164" fontId="59" fillId="35" borderId="18" xfId="0" applyNumberFormat="1" applyFont="1" applyFill="1" applyBorder="1" applyAlignment="1">
      <alignment vertical="center" wrapText="1"/>
    </xf>
    <xf numFmtId="164" fontId="59" fillId="35" borderId="19" xfId="0" applyNumberFormat="1" applyFont="1" applyFill="1" applyBorder="1" applyAlignment="1">
      <alignment vertical="center" wrapText="1"/>
    </xf>
    <xf numFmtId="164" fontId="59" fillId="35" borderId="22" xfId="0" applyNumberFormat="1" applyFont="1" applyFill="1" applyBorder="1" applyAlignment="1">
      <alignment vertical="center" wrapText="1"/>
    </xf>
    <xf numFmtId="164" fontId="59" fillId="35" borderId="23" xfId="0" applyNumberFormat="1" applyFont="1" applyFill="1" applyBorder="1" applyAlignment="1">
      <alignment vertical="center" wrapText="1"/>
    </xf>
    <xf numFmtId="164" fontId="59" fillId="35" borderId="24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57" fillId="0" borderId="2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5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SA!$B$3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SA!$A$8:$A$55</c:f>
              <c:numCache/>
            </c:numRef>
          </c:xVal>
          <c:yVal>
            <c:numRef>
              <c:f>SA!$B$8:$B$55</c:f>
              <c:numCache/>
            </c:numRef>
          </c:yVal>
          <c:smooth val="0"/>
        </c:ser>
        <c:axId val="38382014"/>
        <c:axId val="9893807"/>
      </c:scatterChart>
      <c:valAx>
        <c:axId val="38382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93807"/>
        <c:crosses val="autoZero"/>
        <c:crossBetween val="midCat"/>
        <c:dispUnits/>
      </c:valAx>
      <c:valAx>
        <c:axId val="989380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820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TAS!$B$3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TAS!$A$8:$A$55</c:f>
              <c:numCache/>
            </c:numRef>
          </c:xVal>
          <c:yVal>
            <c:numRef>
              <c:f>TAS!$B$8:$B$55</c:f>
              <c:numCache/>
            </c:numRef>
          </c:yVal>
          <c:smooth val="0"/>
        </c:ser>
        <c:axId val="21935400"/>
        <c:axId val="63200873"/>
      </c:scatterChart>
      <c:valAx>
        <c:axId val="2193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00873"/>
        <c:crosses val="autoZero"/>
        <c:crossBetween val="midCat"/>
        <c:dispUnits/>
      </c:valAx>
      <c:valAx>
        <c:axId val="6320087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354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124075"/>
        <a:ext cx="7277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038350"/>
        <a:ext cx="7077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D77" sqref="D77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8.7109375" style="0" customWidth="1"/>
    <col min="5" max="5" width="16.8515625" style="0" customWidth="1"/>
    <col min="6" max="6" width="16.421875" style="0" customWidth="1"/>
    <col min="7" max="7" width="12.140625" style="0" customWidth="1"/>
    <col min="8" max="8" width="8.7109375" style="0" customWidth="1"/>
    <col min="9" max="9" width="14.57421875" style="0" customWidth="1"/>
    <col min="10" max="10" width="14.00390625" style="0" customWidth="1"/>
    <col min="11" max="11" width="14.28125" style="0" customWidth="1"/>
    <col min="12" max="12" width="16.00390625" style="0" customWidth="1"/>
    <col min="13" max="13" width="15.28125" style="0" customWidth="1"/>
    <col min="14" max="14" width="27.140625" style="0" customWidth="1"/>
  </cols>
  <sheetData>
    <row r="1" ht="15.75">
      <c r="A1" s="16" t="s">
        <v>14</v>
      </c>
    </row>
    <row r="2" spans="2:13" ht="15.75">
      <c r="B2" s="16" t="s">
        <v>0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>
        <v>1895.51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ht="15.75">
      <c r="A6" s="1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>
        <v>30.36</v>
      </c>
      <c r="C8" s="23">
        <v>28.91428571428571</v>
      </c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>
        <v>29.96</v>
      </c>
      <c r="C9" s="27">
        <v>28.53333333333333</v>
      </c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>
        <v>29.7</v>
      </c>
      <c r="C10" s="27">
        <v>28.285714285714285</v>
      </c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>
        <v>29.45</v>
      </c>
      <c r="C11" s="27">
        <v>28.047619047619047</v>
      </c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>
        <v>29.33</v>
      </c>
      <c r="C12" s="27">
        <v>27.93333333333333</v>
      </c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>
        <v>29.22</v>
      </c>
      <c r="C13" s="27">
        <v>27.828571428571426</v>
      </c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>
        <v>29.49</v>
      </c>
      <c r="C14" s="27">
        <v>28.085714285714282</v>
      </c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>
        <v>29.84</v>
      </c>
      <c r="C15" s="27">
        <v>28.419047619047618</v>
      </c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>
        <v>30.94</v>
      </c>
      <c r="C16" s="27">
        <v>29.466666666666665</v>
      </c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>
        <v>31.67</v>
      </c>
      <c r="C17" s="27">
        <v>30.16190476190476</v>
      </c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>
        <v>33.71</v>
      </c>
      <c r="C18" s="27">
        <v>32.1047619047619</v>
      </c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>
        <v>35.2</v>
      </c>
      <c r="C19" s="27">
        <v>33.523809523809526</v>
      </c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>
        <v>37.92</v>
      </c>
      <c r="C20" s="27">
        <v>36.114285714285714</v>
      </c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>
        <v>39.55</v>
      </c>
      <c r="C21" s="27">
        <v>37.666666666666664</v>
      </c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>
        <v>41.56</v>
      </c>
      <c r="C22" s="27">
        <v>39.58095238095238</v>
      </c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>
        <v>42.73</v>
      </c>
      <c r="C23" s="27">
        <v>40.69523809523809</v>
      </c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>
        <v>43.87</v>
      </c>
      <c r="C24" s="27">
        <v>41.78095238095238</v>
      </c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>
        <v>44.81</v>
      </c>
      <c r="C25" s="27">
        <v>42.67619047619048</v>
      </c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>
        <v>45.98</v>
      </c>
      <c r="C26" s="27">
        <v>43.790476190476184</v>
      </c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>
        <v>46.49</v>
      </c>
      <c r="C27" s="27">
        <v>44.27619047619048</v>
      </c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>
        <v>47.33</v>
      </c>
      <c r="C28" s="27">
        <v>45.076190476190476</v>
      </c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>
        <v>47.54</v>
      </c>
      <c r="C29" s="27">
        <v>45.27619047619047</v>
      </c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>
        <v>48.1</v>
      </c>
      <c r="C30" s="27">
        <v>45.80952380952381</v>
      </c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>
        <v>48.44</v>
      </c>
      <c r="C31" s="27">
        <v>46.133333333333326</v>
      </c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>
        <v>48.83</v>
      </c>
      <c r="C32" s="27">
        <v>46.5047619047619</v>
      </c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>
        <v>48.74</v>
      </c>
      <c r="C33" s="27">
        <v>46.41904761904762</v>
      </c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>
        <v>48.5</v>
      </c>
      <c r="C34" s="27">
        <v>46.19047619047619</v>
      </c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>
        <v>48.19</v>
      </c>
      <c r="C35" s="27">
        <v>45.89523809523809</v>
      </c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>
        <v>47.8</v>
      </c>
      <c r="C36" s="27">
        <v>45.52380952380952</v>
      </c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>
        <v>47.55</v>
      </c>
      <c r="C37" s="27">
        <v>45.28571428571428</v>
      </c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>
        <v>47.1</v>
      </c>
      <c r="C38" s="27">
        <v>44.857142857142854</v>
      </c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>
        <v>46.56</v>
      </c>
      <c r="C39" s="27">
        <v>44.34285714285714</v>
      </c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>
        <v>46.02</v>
      </c>
      <c r="C40" s="27">
        <v>43.82857142857143</v>
      </c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>
        <v>45.15</v>
      </c>
      <c r="C41" s="27">
        <v>43</v>
      </c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>
        <v>43.61</v>
      </c>
      <c r="C42" s="27">
        <v>41.53333333333333</v>
      </c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>
        <v>42.68</v>
      </c>
      <c r="C43" s="27">
        <v>40.647619047619045</v>
      </c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>
        <v>41.05</v>
      </c>
      <c r="C44" s="27">
        <v>39.09523809523809</v>
      </c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>
        <v>40.29</v>
      </c>
      <c r="C45" s="27">
        <v>38.37142857142857</v>
      </c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>F45-K45</f>
        <v>0</v>
      </c>
    </row>
    <row r="46" spans="1:13" ht="15" hidden="1" outlineLevel="1">
      <c r="A46">
        <v>39</v>
      </c>
      <c r="B46" s="26">
        <v>39.18</v>
      </c>
      <c r="C46" s="27">
        <v>37.31428571428571</v>
      </c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>
        <v>38.37</v>
      </c>
      <c r="C47" s="27">
        <v>36.54285714285714</v>
      </c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>
        <v>37.39</v>
      </c>
      <c r="C48" s="27">
        <v>35.60952380952381</v>
      </c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>
        <v>36.54</v>
      </c>
      <c r="C49" s="27">
        <v>34.8</v>
      </c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>
        <v>35.54</v>
      </c>
      <c r="C50" s="27">
        <v>33.84761904761905</v>
      </c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>
        <v>34.66</v>
      </c>
      <c r="C51" s="27">
        <v>33.009523809523806</v>
      </c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>
        <v>33.48</v>
      </c>
      <c r="C52" s="27">
        <v>31.885714285714283</v>
      </c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>
        <v>32.62</v>
      </c>
      <c r="C53" s="27">
        <v>31.066666666666663</v>
      </c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>
        <v>31.58</v>
      </c>
      <c r="C54" s="27">
        <v>30.076190476190472</v>
      </c>
      <c r="D54" s="28"/>
      <c r="E54" s="28"/>
      <c r="F54" s="28"/>
      <c r="G54" s="28"/>
      <c r="H54" s="28"/>
      <c r="I54" s="28"/>
      <c r="J54" s="28"/>
      <c r="K54" s="29"/>
      <c r="L54" s="79">
        <f>SUM(D54:E54)-SUM(I54:J54)</f>
        <v>0</v>
      </c>
      <c r="M54" s="80">
        <f t="shared" si="1"/>
        <v>0</v>
      </c>
    </row>
    <row r="55" spans="1:13" ht="15">
      <c r="A55">
        <v>48</v>
      </c>
      <c r="B55" s="30">
        <v>30.91</v>
      </c>
      <c r="C55" s="31">
        <v>29.438095238095237</v>
      </c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IF(SUM(B8:B55)=0,NSW_RLWP,SUMPRODUCT(B8:B55,OFFSET(NSW_PHH,0,0,48,1))/SUM(C8:C55))</f>
        <v>38.532091377208985</v>
      </c>
      <c r="C56" s="3"/>
      <c r="F56" s="3"/>
      <c r="G56" s="18">
        <f ca="1">IF(SUM(G8:G55)=0,NSW_RLWP,SUMPRODUCT(G8:G55,OFFSET(NSW_PHH,0,0,48,1))/SUM(H8:H55))</f>
        <v>35.83889061266675</v>
      </c>
      <c r="H56" s="3"/>
      <c r="L56" s="18">
        <f ca="1">IF(SUM(L8:L55)=0,NSW_RLWP,SUMPRODUCT(L8:L55,OFFSET(NSW_PHH,0,0,48,1))/SUM(L8:L55))</f>
        <v>35.83889061266675</v>
      </c>
      <c r="M56" s="18">
        <f ca="1">IF(SUM(M8:M55)=0,NSW_RLWPC,SUMPRODUCT(M8:M55,OFFSET(NSW_PHHC,0,0,48,1))/SUM(M8:M55))</f>
        <v>29.364285065146237</v>
      </c>
      <c r="N56" s="16" t="s">
        <v>68</v>
      </c>
    </row>
    <row r="57" spans="1:14" ht="15.75">
      <c r="A57" s="16" t="s">
        <v>67</v>
      </c>
      <c r="B57" s="18">
        <f>B56/NSW_RLWP</f>
        <v>1.075147436723121</v>
      </c>
      <c r="C57" s="3"/>
      <c r="F57" s="3"/>
      <c r="G57" s="18">
        <f>G56/NSW_RLWP</f>
        <v>1</v>
      </c>
      <c r="H57" s="3"/>
      <c r="L57" s="18">
        <f>L56/NSW_RLWP</f>
        <v>1</v>
      </c>
      <c r="M57" s="18">
        <f>M56/NSW_RLWP</f>
        <v>0.8193413513410441</v>
      </c>
      <c r="N57" s="16" t="s">
        <v>69</v>
      </c>
    </row>
    <row r="58" spans="1:14" ht="15.75">
      <c r="A58" s="16" t="s">
        <v>43</v>
      </c>
      <c r="B58" s="18">
        <f>MAX(B57,B57^2)</f>
        <v>1.1559420106922977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0.8193413513410441</v>
      </c>
      <c r="N58" s="16" t="s">
        <v>43</v>
      </c>
    </row>
    <row r="59" spans="12:13" ht="15">
      <c r="L59" s="3"/>
      <c r="M59" s="3"/>
    </row>
    <row r="60" ht="15.75">
      <c r="B60" s="16" t="s">
        <v>0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0">
        <v>0</v>
      </c>
    </row>
    <row r="65" spans="1:2" ht="15.75">
      <c r="A65" s="16" t="s">
        <v>20</v>
      </c>
      <c r="B65" s="13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L68" sqref="L68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28125" style="0" customWidth="1"/>
    <col min="5" max="5" width="15.421875" style="0" customWidth="1"/>
    <col min="6" max="6" width="15.00390625" style="0" customWidth="1"/>
    <col min="7" max="7" width="12.28125" style="0" customWidth="1"/>
    <col min="8" max="8" width="10.7109375" style="0" customWidth="1"/>
    <col min="9" max="9" width="15.00390625" style="0" customWidth="1"/>
    <col min="10" max="10" width="15.140625" style="0" customWidth="1"/>
    <col min="11" max="11" width="16.8515625" style="0" customWidth="1"/>
    <col min="12" max="13" width="15.421875" style="0" customWidth="1"/>
  </cols>
  <sheetData>
    <row r="1" ht="15.75">
      <c r="A1" s="16" t="s">
        <v>14</v>
      </c>
    </row>
    <row r="2" spans="2:13" ht="15">
      <c r="B2" t="s">
        <v>1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>
        <v>18337.44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IF(SUM(B8:B55)=0,QLD_RLWP,SUMPRODUCT(B8:B55,OFFSET(QLD_PHH,0,0,48,1))/SUM(C8:C55))</f>
        <v>33.204099750738685</v>
      </c>
      <c r="C56" s="3"/>
      <c r="F56" s="3"/>
      <c r="G56" s="18">
        <f ca="1">IF(SUM(G8:G55)=0,QLD_RLWP,SUMPRODUCT(G8:G55,OFFSET(QLD_PHH,0,0,48,1))/SUM(H8:H55))</f>
        <v>33.204099750738685</v>
      </c>
      <c r="H56" s="3"/>
      <c r="L56" s="18">
        <f ca="1">IF(SUM(L8:L55)=0,QLD_RLWP,SUMPRODUCT(L8:L55,OFFSET(QLD_PHH,0,0,48,1))/SUM(L8:L55))</f>
        <v>33.204099750738685</v>
      </c>
      <c r="M56" s="18">
        <f ca="1">IF(SUM(M8:M55)=0,QLD_RLWPC,SUMPRODUCT(M8:M55,OFFSET(QLD_PHHC,0,0,48,1))/SUM(M8:M55))</f>
        <v>28.078208335141916</v>
      </c>
      <c r="N56" s="16" t="s">
        <v>68</v>
      </c>
    </row>
    <row r="57" spans="1:14" ht="15.75">
      <c r="A57" s="16" t="s">
        <v>67</v>
      </c>
      <c r="B57" s="18">
        <f>B56/QLD_RLWP</f>
        <v>1</v>
      </c>
      <c r="C57" s="3"/>
      <c r="F57" s="3"/>
      <c r="G57" s="18">
        <f>G56/QLD_RLWP</f>
        <v>1</v>
      </c>
      <c r="H57" s="3"/>
      <c r="L57" s="18">
        <f>L56/QLD_RLWP</f>
        <v>1</v>
      </c>
      <c r="M57" s="18">
        <f>M56/QLD_RLWP</f>
        <v>0.8456247435082852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0.8456247435082852</v>
      </c>
      <c r="N58" s="16" t="s">
        <v>43</v>
      </c>
    </row>
    <row r="59" spans="12:13" ht="15">
      <c r="L59" s="3"/>
      <c r="M59" s="3"/>
    </row>
    <row r="60" ht="15">
      <c r="B60" s="1" t="s">
        <v>1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E68" sqref="E68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00390625" style="0" customWidth="1"/>
    <col min="5" max="6" width="15.140625" style="0" customWidth="1"/>
    <col min="7" max="7" width="14.140625" style="0" customWidth="1"/>
    <col min="8" max="8" width="10.7109375" style="0" customWidth="1"/>
    <col min="9" max="9" width="16.28125" style="0" customWidth="1"/>
    <col min="10" max="10" width="15.140625" style="0" customWidth="1"/>
    <col min="11" max="11" width="15.8515625" style="0" customWidth="1"/>
    <col min="12" max="12" width="15.57421875" style="0" customWidth="1"/>
    <col min="13" max="13" width="15.8515625" style="0" customWidth="1"/>
  </cols>
  <sheetData>
    <row r="1" ht="15.75">
      <c r="A1" s="16" t="s">
        <v>14</v>
      </c>
    </row>
    <row r="2" spans="2:13" ht="15">
      <c r="B2" t="s">
        <v>2</v>
      </c>
      <c r="L2" s="96" t="s">
        <v>46</v>
      </c>
      <c r="M2" s="96" t="s">
        <v>47</v>
      </c>
    </row>
    <row r="3" spans="2:13" s="2" customFormat="1" ht="37.5" customHeight="1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IF(SUM(B8:B55)=0,SA_RLWP,SUMPRODUCT(B8:B55,OFFSET(SA_PHH,0,0,48,1))/SUM(C8:C55))</f>
        <v>38.482815948996425</v>
      </c>
      <c r="C56" s="18"/>
      <c r="D56" s="16"/>
      <c r="E56" s="16"/>
      <c r="F56" s="18"/>
      <c r="G56" s="18">
        <f ca="1">IF(SUM(G8:G55)=0,SA_RLWP,SUMPRODUCT(G8:G55,OFFSET(SA_PHH,0,0,48,1))/SUM(H8:H55))</f>
        <v>38.482815948996425</v>
      </c>
      <c r="H56" s="3"/>
      <c r="L56" s="17">
        <f ca="1">IF(SUM(L8:L55)=0,SA_RLWP,SUMPRODUCT(L8:L55,OFFSET(SA_PHH,0,0,48,1))/SUM(L8:L55))</f>
        <v>38.482815948996425</v>
      </c>
      <c r="M56" s="17">
        <f ca="1">IF(SUM(M8:M55)=0,SA_RLWPC,SUMPRODUCT(M8:M55,OFFSET(SA_PHHC,0,0,48,1))/SUM(M8:M55))</f>
        <v>31.640984674815122</v>
      </c>
      <c r="N56" s="16" t="s">
        <v>68</v>
      </c>
    </row>
    <row r="57" spans="1:14" ht="15.75">
      <c r="A57" s="16" t="s">
        <v>67</v>
      </c>
      <c r="B57" s="18">
        <f>B56/SA_RLWP</f>
        <v>1</v>
      </c>
      <c r="C57" s="18"/>
      <c r="D57" s="16"/>
      <c r="E57" s="16"/>
      <c r="F57" s="18"/>
      <c r="G57" s="18">
        <f>G56/SA_RLWP</f>
        <v>1</v>
      </c>
      <c r="H57" s="3"/>
      <c r="L57" s="17">
        <f>L56/SA_RLWP</f>
        <v>1</v>
      </c>
      <c r="M57" s="17">
        <f>M56/SA_RLWP</f>
        <v>0.8222107424973996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7">
        <f>MAX(L57,L57^2)</f>
        <v>1</v>
      </c>
      <c r="M58" s="17">
        <f>MAX(M57,M57^2)</f>
        <v>0.8222107424973996</v>
      </c>
      <c r="N58" s="16" t="s">
        <v>43</v>
      </c>
    </row>
    <row r="59" spans="12:13" ht="15">
      <c r="L59" s="3"/>
      <c r="M59" s="3"/>
    </row>
    <row r="60" ht="15">
      <c r="B60" s="1" t="s">
        <v>2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E66" sqref="E66"/>
    </sheetView>
  </sheetViews>
  <sheetFormatPr defaultColWidth="9.140625" defaultRowHeight="15" outlineLevelRow="1"/>
  <cols>
    <col min="1" max="1" width="35.8515625" style="0" customWidth="1"/>
    <col min="2" max="2" width="11.421875" style="0" customWidth="1"/>
    <col min="3" max="3" width="10.7109375" style="0" customWidth="1"/>
    <col min="4" max="4" width="14.57421875" style="0" customWidth="1"/>
    <col min="5" max="5" width="14.140625" style="0" customWidth="1"/>
    <col min="6" max="6" width="14.8515625" style="0" customWidth="1"/>
    <col min="7" max="7" width="12.140625" style="0" customWidth="1"/>
    <col min="8" max="8" width="10.7109375" style="0" customWidth="1"/>
    <col min="9" max="9" width="14.00390625" style="0" customWidth="1"/>
    <col min="10" max="10" width="14.421875" style="0" customWidth="1"/>
    <col min="11" max="11" width="15.421875" style="0" customWidth="1"/>
    <col min="12" max="12" width="17.140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3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7">
        <f ca="1">IF(SUM(B8:B55)=0,TAS_RLWP,SUMPRODUCT(B8:B55,OFFSET(TAS_PHH,0,0,48,1))/SUM(C8:C55))</f>
        <v>45.05043045277619</v>
      </c>
      <c r="C56" s="3"/>
      <c r="F56" s="3"/>
      <c r="G56" s="17">
        <f ca="1">IF(SUM(G8:G55)=0,TAS_RLWP,SUMPRODUCT(G8:G55,OFFSET(TAS_PHH,0,0,48,1))/SUM(H8:H55))</f>
        <v>45.05043045277619</v>
      </c>
      <c r="H56" s="3"/>
      <c r="L56" s="17">
        <f ca="1">IF(SUM(L8:L55)=0,TAS_RLWP,SUMPRODUCT(L8:L55,OFFSET(TAS_PHH,0,0,48,1))/SUM(L8:L55))</f>
        <v>45.05043045277619</v>
      </c>
      <c r="M56" s="17">
        <f ca="1">IF(SUM(M8:M55)=0,TAS_RLWPC,SUMPRODUCT(M8:M55,OFFSET(TAS_PHHC,0,0,48,1))/SUM(M8:M55))</f>
        <v>42.48488675685904</v>
      </c>
      <c r="N56" s="16" t="s">
        <v>68</v>
      </c>
    </row>
    <row r="57" spans="1:14" ht="15.75">
      <c r="A57" s="16" t="s">
        <v>67</v>
      </c>
      <c r="B57" s="17">
        <f>B56/TAS_RLWP</f>
        <v>1</v>
      </c>
      <c r="C57" s="3"/>
      <c r="F57" s="3"/>
      <c r="G57" s="17">
        <f>G56/TAS_RLWP</f>
        <v>1</v>
      </c>
      <c r="H57" s="3"/>
      <c r="L57" s="17">
        <f>L56/TAS_RLWP</f>
        <v>1</v>
      </c>
      <c r="M57" s="17">
        <f>M56/TAS_RLWP</f>
        <v>0.9430517384599363</v>
      </c>
      <c r="N57" s="16" t="s">
        <v>69</v>
      </c>
    </row>
    <row r="58" spans="1:14" ht="15.75">
      <c r="A58" s="16" t="s">
        <v>43</v>
      </c>
      <c r="B58" s="17">
        <f>MAX(B57,B57^2)</f>
        <v>1</v>
      </c>
      <c r="C58" s="3"/>
      <c r="F58" s="3"/>
      <c r="G58" s="17">
        <f>MAX(G57,G57^2)</f>
        <v>1</v>
      </c>
      <c r="H58" s="3"/>
      <c r="L58" s="17">
        <f>MAX(L57,L57^2)</f>
        <v>1</v>
      </c>
      <c r="M58" s="17">
        <f>MAX(M57,M57^2)</f>
        <v>0.9430517384599363</v>
      </c>
      <c r="N58" s="16" t="s">
        <v>43</v>
      </c>
    </row>
    <row r="59" spans="12:13" ht="15">
      <c r="L59" s="3"/>
      <c r="M59" s="3"/>
    </row>
    <row r="60" ht="15.75">
      <c r="B60" s="16" t="s">
        <v>3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F79" sqref="F79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4.28125" style="0" customWidth="1"/>
    <col min="5" max="6" width="14.140625" style="0" customWidth="1"/>
    <col min="7" max="7" width="12.57421875" style="0" customWidth="1"/>
    <col min="8" max="8" width="10.7109375" style="0" customWidth="1"/>
    <col min="9" max="9" width="14.7109375" style="0" customWidth="1"/>
    <col min="10" max="10" width="15.28125" style="0" customWidth="1"/>
    <col min="11" max="11" width="14.7109375" style="0" customWidth="1"/>
    <col min="12" max="12" width="15.8515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4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IF(SUM(B8:B55)=0,VIC_RLWP,SUMPRODUCT(B8:B55,OFFSET(VIC_PHH,0,0,48,1))/SUM(C8:C55))</f>
        <v>31.70423174215881</v>
      </c>
      <c r="C56" s="18"/>
      <c r="D56" s="16"/>
      <c r="E56" s="16"/>
      <c r="F56" s="18"/>
      <c r="G56" s="18">
        <f ca="1">IF(SUM(G8:G55)=0,VIC_RLWP,SUMPRODUCT(G8:G55,OFFSET(VIC_PHH,0,0,48,1))/SUM(H8:H55))</f>
        <v>31.70423174215881</v>
      </c>
      <c r="H56" s="3"/>
      <c r="L56" s="18">
        <f ca="1">IF(SUM(L8:L55)=0,VIC_RLWP,SUMPRODUCT(L8:L55,OFFSET(VIC_PHH,0,0,48,1))/SUM(L8:L55))</f>
        <v>31.70423174215881</v>
      </c>
      <c r="M56" s="18">
        <f ca="1">IF(SUM(M8:M55)=0,VIC_RLWPC,SUMPRODUCT(M8:M55,OFFSET(VIC_PHHC,0,0,48,1))/SUM(M8:M55))</f>
        <v>29.09738261002399</v>
      </c>
      <c r="N56" s="16" t="s">
        <v>68</v>
      </c>
    </row>
    <row r="57" spans="1:14" ht="15.75">
      <c r="A57" s="16" t="s">
        <v>67</v>
      </c>
      <c r="B57" s="18">
        <f>B56/VIC_RLWP</f>
        <v>1</v>
      </c>
      <c r="C57" s="18"/>
      <c r="D57" s="16"/>
      <c r="E57" s="16"/>
      <c r="F57" s="18"/>
      <c r="G57" s="18">
        <f>G56/VIC_RLWP</f>
        <v>1</v>
      </c>
      <c r="H57" s="3"/>
      <c r="L57" s="18">
        <f>L56/VIC_RLWP</f>
        <v>1</v>
      </c>
      <c r="M57" s="18">
        <f>M56/VIC_RLWP</f>
        <v>0.9177759879710835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8">
        <f>MAX(L57,L57^2)</f>
        <v>1</v>
      </c>
      <c r="M58" s="18">
        <f>MAX(M57,M57^2)</f>
        <v>0.9177759879710835</v>
      </c>
      <c r="N58" s="16" t="s">
        <v>43</v>
      </c>
    </row>
    <row r="59" spans="12:13" ht="15">
      <c r="L59" s="3"/>
      <c r="M59" s="3"/>
    </row>
    <row r="60" ht="15.75">
      <c r="B60" s="16" t="s">
        <v>4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3"/>
  <sheetViews>
    <sheetView zoomScale="80" zoomScaleNormal="80" zoomScalePageLayoutView="0" workbookViewId="0" topLeftCell="A56">
      <selection activeCell="A7" sqref="A7:IV7"/>
    </sheetView>
  </sheetViews>
  <sheetFormatPr defaultColWidth="9.140625" defaultRowHeight="15" outlineLevelRow="1"/>
  <cols>
    <col min="1" max="1" width="37.7109375" style="0" customWidth="1"/>
    <col min="2" max="2" width="10.7109375" style="0" customWidth="1"/>
    <col min="3" max="3" width="12.28125" style="0" customWidth="1"/>
    <col min="4" max="5" width="12.140625" style="0" customWidth="1"/>
    <col min="6" max="6" width="10.28125" style="0" customWidth="1"/>
    <col min="7" max="7" width="10.28125" style="0" bestFit="1" customWidth="1"/>
    <col min="8" max="10" width="9.28125" style="0" bestFit="1" customWidth="1"/>
    <col min="11" max="11" width="10.57421875" style="0" customWidth="1"/>
    <col min="12" max="17" width="9.28125" style="0" bestFit="1" customWidth="1"/>
  </cols>
  <sheetData>
    <row r="1" ht="15.75">
      <c r="A1" s="16" t="s">
        <v>15</v>
      </c>
    </row>
    <row r="2" spans="1:13" ht="30" customHeight="1">
      <c r="A2" s="16"/>
      <c r="B2" s="99" t="s">
        <v>22</v>
      </c>
      <c r="C2" s="99"/>
      <c r="G2" s="2" t="s">
        <v>16</v>
      </c>
      <c r="L2" s="99" t="s">
        <v>21</v>
      </c>
      <c r="M2" s="99"/>
    </row>
    <row r="3" spans="1:7" s="2" customFormat="1" ht="18.75">
      <c r="A3" s="12"/>
      <c r="B3" s="12" t="s">
        <v>83</v>
      </c>
      <c r="G3" s="12" t="s">
        <v>74</v>
      </c>
    </row>
    <row r="4" spans="1:11" s="2" customFormat="1" ht="15.75">
      <c r="A4" s="12"/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0</v>
      </c>
      <c r="H4" t="s">
        <v>1</v>
      </c>
      <c r="I4" t="s">
        <v>2</v>
      </c>
      <c r="J4" t="s">
        <v>3</v>
      </c>
      <c r="K4" t="s">
        <v>4</v>
      </c>
    </row>
    <row r="5" spans="1:16" ht="15.75">
      <c r="A5" s="16" t="s">
        <v>13</v>
      </c>
      <c r="B5" s="38">
        <v>186164.3</v>
      </c>
      <c r="C5" s="39">
        <v>128903.6</v>
      </c>
      <c r="D5" s="39">
        <v>34784.56</v>
      </c>
      <c r="E5" s="39">
        <v>28494.63</v>
      </c>
      <c r="F5" s="39">
        <v>119172.2</v>
      </c>
      <c r="G5" s="84">
        <v>35.3</v>
      </c>
      <c r="H5" s="85">
        <v>32.34</v>
      </c>
      <c r="I5" s="85">
        <v>37.41</v>
      </c>
      <c r="J5" s="85">
        <v>44.91</v>
      </c>
      <c r="K5" s="86">
        <v>31.08</v>
      </c>
      <c r="L5" s="2"/>
      <c r="M5" s="2"/>
      <c r="N5" s="2"/>
      <c r="O5" s="2"/>
      <c r="P5" s="2"/>
    </row>
    <row r="6" spans="1:16" ht="15.75">
      <c r="A6" s="16"/>
      <c r="B6" s="45"/>
      <c r="C6" s="45"/>
      <c r="D6" s="45"/>
      <c r="E6" s="45"/>
      <c r="F6" s="45"/>
      <c r="G6" s="83" t="s">
        <v>86</v>
      </c>
      <c r="H6" s="73"/>
      <c r="I6" s="73"/>
      <c r="J6" s="73"/>
      <c r="K6" s="73"/>
      <c r="L6" s="46"/>
      <c r="M6" s="46"/>
      <c r="N6" s="46"/>
      <c r="O6" s="46"/>
      <c r="P6" s="46"/>
    </row>
    <row r="7" spans="1:16" ht="15.75">
      <c r="A7" s="16"/>
      <c r="B7" s="45"/>
      <c r="C7" s="45"/>
      <c r="D7" s="45"/>
      <c r="E7" s="45"/>
      <c r="F7" s="45"/>
      <c r="G7" s="83"/>
      <c r="H7" s="73"/>
      <c r="I7" s="73"/>
      <c r="J7" s="73"/>
      <c r="K7" s="73"/>
      <c r="L7" s="46"/>
      <c r="M7" s="46"/>
      <c r="N7" s="46"/>
      <c r="O7" s="46"/>
      <c r="P7" s="46"/>
    </row>
    <row r="8" spans="1:16" ht="18.75">
      <c r="A8" s="16"/>
      <c r="B8" s="12" t="s">
        <v>82</v>
      </c>
      <c r="C8" s="12" t="s">
        <v>82</v>
      </c>
      <c r="D8" s="12" t="s">
        <v>82</v>
      </c>
      <c r="E8" s="12" t="s">
        <v>82</v>
      </c>
      <c r="F8" s="12" t="s">
        <v>82</v>
      </c>
      <c r="G8" s="12" t="s">
        <v>84</v>
      </c>
      <c r="H8" s="12" t="s">
        <v>84</v>
      </c>
      <c r="I8" s="12" t="s">
        <v>84</v>
      </c>
      <c r="J8" s="12" t="s">
        <v>84</v>
      </c>
      <c r="K8" s="12" t="s">
        <v>84</v>
      </c>
      <c r="L8" s="12" t="s">
        <v>85</v>
      </c>
      <c r="M8" s="12" t="s">
        <v>85</v>
      </c>
      <c r="N8" s="12" t="s">
        <v>85</v>
      </c>
      <c r="O8" s="12" t="s">
        <v>85</v>
      </c>
      <c r="P8" s="12" t="s">
        <v>85</v>
      </c>
    </row>
    <row r="9" spans="1:16" ht="15.75">
      <c r="A9" s="16" t="s">
        <v>19</v>
      </c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0</v>
      </c>
      <c r="H9" t="s">
        <v>1</v>
      </c>
      <c r="I9" t="s">
        <v>2</v>
      </c>
      <c r="J9" t="s">
        <v>3</v>
      </c>
      <c r="K9" t="s">
        <v>4</v>
      </c>
      <c r="L9" t="s">
        <v>0</v>
      </c>
      <c r="M9" t="s">
        <v>1</v>
      </c>
      <c r="N9" t="s">
        <v>2</v>
      </c>
      <c r="O9" t="s">
        <v>3</v>
      </c>
      <c r="P9" t="s">
        <v>4</v>
      </c>
    </row>
    <row r="10" spans="1:16" ht="15">
      <c r="A10">
        <v>1</v>
      </c>
      <c r="B10" s="40">
        <v>3578.468690656231</v>
      </c>
      <c r="C10" s="41">
        <v>2354.840697679953</v>
      </c>
      <c r="D10" s="41">
        <v>747.6626777128739</v>
      </c>
      <c r="E10" s="41">
        <v>528.0821808481472</v>
      </c>
      <c r="F10" s="41">
        <v>2167.807270012623</v>
      </c>
      <c r="G10" s="87">
        <v>24.82433647256731</v>
      </c>
      <c r="H10" s="42">
        <v>21.921216897406733</v>
      </c>
      <c r="I10" s="42">
        <v>31.770819035758738</v>
      </c>
      <c r="J10" s="42">
        <v>39.665845557709766</v>
      </c>
      <c r="K10" s="43">
        <v>25.628660103558456</v>
      </c>
      <c r="L10" s="42">
        <v>24.78595110639497</v>
      </c>
      <c r="M10" s="42">
        <v>21.919515366832805</v>
      </c>
      <c r="N10" s="42">
        <v>30.378471303474686</v>
      </c>
      <c r="O10" s="42">
        <v>39.18267438291388</v>
      </c>
      <c r="P10" s="43">
        <v>24.5572844371865</v>
      </c>
    </row>
    <row r="11" spans="1:16" ht="15">
      <c r="A11">
        <v>2</v>
      </c>
      <c r="B11" s="44">
        <v>3492.107184300503</v>
      </c>
      <c r="C11" s="45">
        <v>2278.2529492281187</v>
      </c>
      <c r="D11" s="45">
        <v>727.5034013019169</v>
      </c>
      <c r="E11" s="45">
        <v>522.9589065758872</v>
      </c>
      <c r="F11" s="45">
        <v>2098.505194799889</v>
      </c>
      <c r="G11" s="88">
        <v>23.265335074713473</v>
      </c>
      <c r="H11" s="46">
        <v>20.47604460186585</v>
      </c>
      <c r="I11" s="46">
        <v>31.134505271491232</v>
      </c>
      <c r="J11" s="46">
        <v>39.19188153266908</v>
      </c>
      <c r="K11" s="47">
        <v>23.08975252643061</v>
      </c>
      <c r="L11" s="46">
        <v>23.265017892484675</v>
      </c>
      <c r="M11" s="46">
        <v>20.478953867833567</v>
      </c>
      <c r="N11" s="46">
        <v>29.39852005878792</v>
      </c>
      <c r="O11" s="46">
        <v>38.193963394192735</v>
      </c>
      <c r="P11" s="47">
        <v>22.45496496184912</v>
      </c>
    </row>
    <row r="12" spans="1:16" ht="15" hidden="1" outlineLevel="1">
      <c r="A12">
        <v>3</v>
      </c>
      <c r="B12" s="44">
        <v>3374.2782209006095</v>
      </c>
      <c r="C12" s="45">
        <v>2201.8966546908364</v>
      </c>
      <c r="D12" s="45">
        <v>680.1254314772108</v>
      </c>
      <c r="E12" s="45">
        <v>518.9456525112585</v>
      </c>
      <c r="F12" s="45">
        <v>2236.9049996940894</v>
      </c>
      <c r="G12" s="88">
        <v>24.81883007840375</v>
      </c>
      <c r="H12" s="46">
        <v>19.76054179477807</v>
      </c>
      <c r="I12" s="46">
        <v>30.88796204319197</v>
      </c>
      <c r="J12" s="46">
        <v>39.49602724945313</v>
      </c>
      <c r="K12" s="47">
        <v>27.37374027272734</v>
      </c>
      <c r="L12" s="46">
        <v>24.74437746708503</v>
      </c>
      <c r="M12" s="46">
        <v>19.74330787270111</v>
      </c>
      <c r="N12" s="46">
        <v>29.300983827782183</v>
      </c>
      <c r="O12" s="46">
        <v>39.433897881799005</v>
      </c>
      <c r="P12" s="47">
        <v>25.894357859960813</v>
      </c>
    </row>
    <row r="13" spans="1:16" ht="15" hidden="1" outlineLevel="1">
      <c r="A13">
        <v>4</v>
      </c>
      <c r="B13" s="44">
        <v>3256.1875042223464</v>
      </c>
      <c r="C13" s="45">
        <v>2140.755219256442</v>
      </c>
      <c r="D13" s="45">
        <v>636.7564470701438</v>
      </c>
      <c r="E13" s="45">
        <v>517.3306429968954</v>
      </c>
      <c r="F13" s="45">
        <v>2172.7919255735687</v>
      </c>
      <c r="G13" s="88">
        <v>21.96651082401813</v>
      </c>
      <c r="H13" s="46">
        <v>18.75386663733371</v>
      </c>
      <c r="I13" s="46">
        <v>25.474557527907482</v>
      </c>
      <c r="J13" s="46">
        <v>37.57602256814546</v>
      </c>
      <c r="K13" s="47">
        <v>22.271471252172226</v>
      </c>
      <c r="L13" s="46">
        <v>22.009185671194047</v>
      </c>
      <c r="M13" s="46">
        <v>18.833797318261414</v>
      </c>
      <c r="N13" s="46">
        <v>24.870962000016615</v>
      </c>
      <c r="O13" s="46">
        <v>37.42877938923882</v>
      </c>
      <c r="P13" s="47">
        <v>22.147393976510237</v>
      </c>
    </row>
    <row r="14" spans="1:16" ht="15" hidden="1" outlineLevel="1">
      <c r="A14">
        <v>5</v>
      </c>
      <c r="B14" s="44">
        <v>3132.2788641126</v>
      </c>
      <c r="C14" s="45">
        <v>2103.0441590734326</v>
      </c>
      <c r="D14" s="45">
        <v>604.4030134379299</v>
      </c>
      <c r="E14" s="45">
        <v>516.9247168204546</v>
      </c>
      <c r="F14" s="45">
        <v>2081.9123422299513</v>
      </c>
      <c r="G14" s="88">
        <v>20.154163049587122</v>
      </c>
      <c r="H14" s="46">
        <v>20.87257375467267</v>
      </c>
      <c r="I14" s="46">
        <v>22.483303251032105</v>
      </c>
      <c r="J14" s="46">
        <v>38.87700299989539</v>
      </c>
      <c r="K14" s="47">
        <v>19.64654440753905</v>
      </c>
      <c r="L14" s="46">
        <v>20.08707879947884</v>
      </c>
      <c r="M14" s="46">
        <v>17.90670720213701</v>
      </c>
      <c r="N14" s="46">
        <v>21.915514190614367</v>
      </c>
      <c r="O14" s="46">
        <v>35.96822557651224</v>
      </c>
      <c r="P14" s="47">
        <v>19.56031608328007</v>
      </c>
    </row>
    <row r="15" spans="1:16" ht="15" hidden="1" outlineLevel="1">
      <c r="A15">
        <v>6</v>
      </c>
      <c r="B15" s="44">
        <v>3043.732353531384</v>
      </c>
      <c r="C15" s="45">
        <v>2082.6755627289367</v>
      </c>
      <c r="D15" s="45">
        <v>582.5560040263695</v>
      </c>
      <c r="E15" s="45">
        <v>515.8693928020477</v>
      </c>
      <c r="F15" s="45">
        <v>2010.169896655978</v>
      </c>
      <c r="G15" s="88">
        <v>18.633031978391333</v>
      </c>
      <c r="H15" s="46">
        <v>18.2415441318882</v>
      </c>
      <c r="I15" s="46">
        <v>19.322598352592493</v>
      </c>
      <c r="J15" s="46">
        <v>37.02879677931693</v>
      </c>
      <c r="K15" s="47">
        <v>17.469493746355134</v>
      </c>
      <c r="L15" s="46">
        <v>18.63322588062827</v>
      </c>
      <c r="M15" s="46">
        <v>17.13955825031279</v>
      </c>
      <c r="N15" s="46">
        <v>18.97070823588224</v>
      </c>
      <c r="O15" s="46">
        <v>34.210168663607305</v>
      </c>
      <c r="P15" s="47">
        <v>17.4657385070332</v>
      </c>
    </row>
    <row r="16" spans="1:16" ht="15" hidden="1" outlineLevel="1">
      <c r="A16">
        <v>7</v>
      </c>
      <c r="B16" s="44">
        <v>2989.854662398089</v>
      </c>
      <c r="C16" s="45">
        <v>2071.804636597792</v>
      </c>
      <c r="D16" s="45">
        <v>567.9965450984752</v>
      </c>
      <c r="E16" s="45">
        <v>516.8197198834229</v>
      </c>
      <c r="F16" s="45">
        <v>1964.193545094116</v>
      </c>
      <c r="G16" s="88">
        <v>17.551380286572417</v>
      </c>
      <c r="H16" s="46">
        <v>16.606976530196796</v>
      </c>
      <c r="I16" s="46">
        <v>16.874508260484752</v>
      </c>
      <c r="J16" s="46">
        <v>34.752815678177534</v>
      </c>
      <c r="K16" s="47">
        <v>16.03770306788099</v>
      </c>
      <c r="L16" s="46">
        <v>17.551522186066748</v>
      </c>
      <c r="M16" s="46">
        <v>16.60410412106398</v>
      </c>
      <c r="N16" s="46">
        <v>16.6176981605872</v>
      </c>
      <c r="O16" s="46">
        <v>33.36626395503713</v>
      </c>
      <c r="P16" s="47">
        <v>16.038086224443834</v>
      </c>
    </row>
    <row r="17" spans="1:16" ht="15" hidden="1" outlineLevel="1">
      <c r="A17">
        <v>8</v>
      </c>
      <c r="B17" s="44">
        <v>2977.2104582241327</v>
      </c>
      <c r="C17" s="45">
        <v>2069.1329289891155</v>
      </c>
      <c r="D17" s="45">
        <v>560.670297184403</v>
      </c>
      <c r="E17" s="45">
        <v>518.066332817004</v>
      </c>
      <c r="F17" s="45">
        <v>1934.4339577167132</v>
      </c>
      <c r="G17" s="88">
        <v>16.98591189940276</v>
      </c>
      <c r="H17" s="46">
        <v>15.691158958707932</v>
      </c>
      <c r="I17" s="46">
        <v>16.397819912664325</v>
      </c>
      <c r="J17" s="46">
        <v>33.13306670898079</v>
      </c>
      <c r="K17" s="47">
        <v>15.115834377824086</v>
      </c>
      <c r="L17" s="46">
        <v>16.98591189940276</v>
      </c>
      <c r="M17" s="46">
        <v>15.691158958707932</v>
      </c>
      <c r="N17" s="46">
        <v>16.37656605354997</v>
      </c>
      <c r="O17" s="46">
        <v>32.9940476916349</v>
      </c>
      <c r="P17" s="47">
        <v>15.115834377824086</v>
      </c>
    </row>
    <row r="18" spans="1:16" ht="15" hidden="1" outlineLevel="1">
      <c r="A18">
        <v>9</v>
      </c>
      <c r="B18" s="44">
        <v>3013.119021719464</v>
      </c>
      <c r="C18" s="45">
        <v>2083.917411017992</v>
      </c>
      <c r="D18" s="45">
        <v>557.6002449018309</v>
      </c>
      <c r="E18" s="45">
        <v>523.4228745732595</v>
      </c>
      <c r="F18" s="45">
        <v>1941.7457743130165</v>
      </c>
      <c r="G18" s="88">
        <v>17.3499356106653</v>
      </c>
      <c r="H18" s="46">
        <v>16.19114421714478</v>
      </c>
      <c r="I18" s="46">
        <v>15.03931242442333</v>
      </c>
      <c r="J18" s="46">
        <v>37.86454619447242</v>
      </c>
      <c r="K18" s="47">
        <v>15.252138948942948</v>
      </c>
      <c r="L18" s="46">
        <v>17.3499356106653</v>
      </c>
      <c r="M18" s="46">
        <v>16.19114421714478</v>
      </c>
      <c r="N18" s="46">
        <v>15.026319200905178</v>
      </c>
      <c r="O18" s="46">
        <v>33.619413166352565</v>
      </c>
      <c r="P18" s="47">
        <v>15.25011913458788</v>
      </c>
    </row>
    <row r="19" spans="1:16" ht="15" hidden="1" outlineLevel="1">
      <c r="A19">
        <v>10</v>
      </c>
      <c r="B19" s="44">
        <v>3078.096509111927</v>
      </c>
      <c r="C19" s="45">
        <v>2109.674840928581</v>
      </c>
      <c r="D19" s="45">
        <v>562.1620152400166</v>
      </c>
      <c r="E19" s="45">
        <v>531.0764058326114</v>
      </c>
      <c r="F19" s="45">
        <v>1975.0615725560037</v>
      </c>
      <c r="G19" s="88">
        <v>18.01786255122785</v>
      </c>
      <c r="H19" s="46">
        <v>15.373527488771312</v>
      </c>
      <c r="I19" s="46">
        <v>15.363001686332524</v>
      </c>
      <c r="J19" s="46">
        <v>33.989862573484324</v>
      </c>
      <c r="K19" s="47">
        <v>15.643295477800331</v>
      </c>
      <c r="L19" s="46">
        <v>18.01436019150521</v>
      </c>
      <c r="M19" s="46">
        <v>15.274123602960087</v>
      </c>
      <c r="N19" s="46">
        <v>15.357227283885624</v>
      </c>
      <c r="O19" s="46">
        <v>33.08011311117522</v>
      </c>
      <c r="P19" s="47">
        <v>15.63393566740852</v>
      </c>
    </row>
    <row r="20" spans="1:16" ht="15" hidden="1" outlineLevel="1">
      <c r="A20">
        <v>11</v>
      </c>
      <c r="B20" s="44">
        <v>3230.8942503470944</v>
      </c>
      <c r="C20" s="45">
        <v>2170.4653992276817</v>
      </c>
      <c r="D20" s="45">
        <v>571.5636053328699</v>
      </c>
      <c r="E20" s="45">
        <v>547.403750196303</v>
      </c>
      <c r="F20" s="45">
        <v>2063.9431077243435</v>
      </c>
      <c r="G20" s="88">
        <v>19.95175214565697</v>
      </c>
      <c r="H20" s="46">
        <v>17.976964623150714</v>
      </c>
      <c r="I20" s="46">
        <v>17.611934346286866</v>
      </c>
      <c r="J20" s="46">
        <v>37.68012677229096</v>
      </c>
      <c r="K20" s="47">
        <v>18.19305615169428</v>
      </c>
      <c r="L20" s="46">
        <v>19.928598414514877</v>
      </c>
      <c r="M20" s="46">
        <v>17.975416343434684</v>
      </c>
      <c r="N20" s="46">
        <v>17.59639012627743</v>
      </c>
      <c r="O20" s="46">
        <v>35.47479345706023</v>
      </c>
      <c r="P20" s="47">
        <v>18.181400017539666</v>
      </c>
    </row>
    <row r="21" spans="1:16" ht="15" hidden="1" outlineLevel="1">
      <c r="A21">
        <v>12</v>
      </c>
      <c r="B21" s="44">
        <v>3404.1851161439254</v>
      </c>
      <c r="C21" s="45">
        <v>2249.9585339317337</v>
      </c>
      <c r="D21" s="45">
        <v>593.6392369521848</v>
      </c>
      <c r="E21" s="45">
        <v>569.4839639374495</v>
      </c>
      <c r="F21" s="45">
        <v>2171.8565202896275</v>
      </c>
      <c r="G21" s="88">
        <v>21.648518094843553</v>
      </c>
      <c r="H21" s="46">
        <v>19.37509676683489</v>
      </c>
      <c r="I21" s="46">
        <v>20.27214104033431</v>
      </c>
      <c r="J21" s="46">
        <v>47.69993066150801</v>
      </c>
      <c r="K21" s="47">
        <v>20.023097330336945</v>
      </c>
      <c r="L21" s="46">
        <v>21.63965664932707</v>
      </c>
      <c r="M21" s="46">
        <v>19.36173954439062</v>
      </c>
      <c r="N21" s="46">
        <v>20.060229883077955</v>
      </c>
      <c r="O21" s="46">
        <v>39.133087977523296</v>
      </c>
      <c r="P21" s="47">
        <v>19.988659030593606</v>
      </c>
    </row>
    <row r="22" spans="1:16" ht="15" hidden="1" outlineLevel="1">
      <c r="A22">
        <v>13</v>
      </c>
      <c r="B22" s="44">
        <v>3612.3582817519973</v>
      </c>
      <c r="C22" s="45">
        <v>2393.259394334422</v>
      </c>
      <c r="D22" s="45">
        <v>621.18206711122</v>
      </c>
      <c r="E22" s="45">
        <v>599.9993450214138</v>
      </c>
      <c r="F22" s="45">
        <v>2348.4885177694323</v>
      </c>
      <c r="G22" s="88">
        <v>24.682566059318457</v>
      </c>
      <c r="H22" s="46">
        <v>22.008659984211462</v>
      </c>
      <c r="I22" s="46">
        <v>24.383605745281915</v>
      </c>
      <c r="J22" s="46">
        <v>51.41318724911489</v>
      </c>
      <c r="K22" s="47">
        <v>24.338258238627613</v>
      </c>
      <c r="L22" s="46">
        <v>24.424553081364582</v>
      </c>
      <c r="M22" s="46">
        <v>21.85862388258132</v>
      </c>
      <c r="N22" s="46">
        <v>23.903399897133653</v>
      </c>
      <c r="O22" s="46">
        <v>41.36920034222583</v>
      </c>
      <c r="P22" s="47">
        <v>23.882055905272882</v>
      </c>
    </row>
    <row r="23" spans="1:16" ht="15" hidden="1" outlineLevel="1">
      <c r="A23">
        <v>14</v>
      </c>
      <c r="B23" s="44">
        <v>3802.3636051161234</v>
      </c>
      <c r="C23" s="45">
        <v>2546.897994328436</v>
      </c>
      <c r="D23" s="45">
        <v>665.8128138236469</v>
      </c>
      <c r="E23" s="45">
        <v>627.0343366797574</v>
      </c>
      <c r="F23" s="45">
        <v>2488.858582798883</v>
      </c>
      <c r="G23" s="88">
        <v>30.24671646021138</v>
      </c>
      <c r="H23" s="46">
        <v>25.162760012785714</v>
      </c>
      <c r="I23" s="46">
        <v>29.864526265830136</v>
      </c>
      <c r="J23" s="46">
        <v>66.51764300328459</v>
      </c>
      <c r="K23" s="47">
        <v>30.407691637429743</v>
      </c>
      <c r="L23" s="46">
        <v>28.20874088765107</v>
      </c>
      <c r="M23" s="46">
        <v>24.833972215247737</v>
      </c>
      <c r="N23" s="46">
        <v>27.820446712734267</v>
      </c>
      <c r="O23" s="46">
        <v>43.99151253744622</v>
      </c>
      <c r="P23" s="47">
        <v>28.320796291558185</v>
      </c>
    </row>
    <row r="24" spans="1:16" ht="15" hidden="1" outlineLevel="1">
      <c r="A24">
        <v>15</v>
      </c>
      <c r="B24" s="44">
        <v>3919.125201876413</v>
      </c>
      <c r="C24" s="45">
        <v>2707.3192475535307</v>
      </c>
      <c r="D24" s="45">
        <v>703.4040264925102</v>
      </c>
      <c r="E24" s="45">
        <v>647.5354408378221</v>
      </c>
      <c r="F24" s="45">
        <v>2542.8762025198557</v>
      </c>
      <c r="G24" s="88">
        <v>26.032002131735048</v>
      </c>
      <c r="H24" s="46">
        <v>25.066340716582822</v>
      </c>
      <c r="I24" s="46">
        <v>26.732294193128002</v>
      </c>
      <c r="J24" s="46">
        <v>54.41480530575515</v>
      </c>
      <c r="K24" s="47">
        <v>26.08848276604001</v>
      </c>
      <c r="L24" s="46">
        <v>25.964335634363614</v>
      </c>
      <c r="M24" s="46">
        <v>24.297533311339556</v>
      </c>
      <c r="N24" s="46">
        <v>26.27938780076524</v>
      </c>
      <c r="O24" s="46">
        <v>42.57750939223435</v>
      </c>
      <c r="P24" s="47">
        <v>26.0667539479061</v>
      </c>
    </row>
    <row r="25" spans="1:16" ht="15" hidden="1" outlineLevel="1">
      <c r="A25">
        <v>16</v>
      </c>
      <c r="B25" s="44">
        <v>4043.912422910601</v>
      </c>
      <c r="C25" s="45">
        <v>2808.7449284993722</v>
      </c>
      <c r="D25" s="45">
        <v>716.7364655153561</v>
      </c>
      <c r="E25" s="45">
        <v>656.2603116461421</v>
      </c>
      <c r="F25" s="45">
        <v>2611.882225611241</v>
      </c>
      <c r="G25" s="88">
        <v>29.16724581596147</v>
      </c>
      <c r="H25" s="46">
        <v>29.745627360914877</v>
      </c>
      <c r="I25" s="46">
        <v>30.379977918064746</v>
      </c>
      <c r="J25" s="46">
        <v>47.83151198175842</v>
      </c>
      <c r="K25" s="47">
        <v>29.08316663386251</v>
      </c>
      <c r="L25" s="46">
        <v>28.99307865606402</v>
      </c>
      <c r="M25" s="46">
        <v>26.506533715018037</v>
      </c>
      <c r="N25" s="46">
        <v>30.399693301863007</v>
      </c>
      <c r="O25" s="46">
        <v>44.2450809735933</v>
      </c>
      <c r="P25" s="47">
        <v>29.207851182843243</v>
      </c>
    </row>
    <row r="26" spans="1:16" ht="15" hidden="1" outlineLevel="1">
      <c r="A26">
        <v>17</v>
      </c>
      <c r="B26" s="44">
        <v>4147.985379876614</v>
      </c>
      <c r="C26" s="45">
        <v>2877.0083120228846</v>
      </c>
      <c r="D26" s="45">
        <v>738.849500455824</v>
      </c>
      <c r="E26" s="45">
        <v>656.3685612777842</v>
      </c>
      <c r="F26" s="45">
        <v>2671.438316959601</v>
      </c>
      <c r="G26" s="88">
        <v>31.625378537287418</v>
      </c>
      <c r="H26" s="46">
        <v>31.813429519715687</v>
      </c>
      <c r="I26" s="46">
        <v>33.994548320348045</v>
      </c>
      <c r="J26" s="46">
        <v>47.28844777356792</v>
      </c>
      <c r="K26" s="47">
        <v>31.9250704282515</v>
      </c>
      <c r="L26" s="46">
        <v>31.792490600106227</v>
      </c>
      <c r="M26" s="46">
        <v>30.17332647905944</v>
      </c>
      <c r="N26" s="46">
        <v>33.9664828072141</v>
      </c>
      <c r="O26" s="46">
        <v>45.41877922179228</v>
      </c>
      <c r="P26" s="47">
        <v>32.140243156139626</v>
      </c>
    </row>
    <row r="27" spans="1:16" ht="15" hidden="1" outlineLevel="1">
      <c r="A27">
        <v>18</v>
      </c>
      <c r="B27" s="44">
        <v>4206.183710329844</v>
      </c>
      <c r="C27" s="45">
        <v>2918.1833415277147</v>
      </c>
      <c r="D27" s="45">
        <v>755.2012278810834</v>
      </c>
      <c r="E27" s="45">
        <v>650.9405636625588</v>
      </c>
      <c r="F27" s="45">
        <v>2695.9614175432166</v>
      </c>
      <c r="G27" s="88">
        <v>31.85706447662684</v>
      </c>
      <c r="H27" s="46">
        <v>35.552746516976185</v>
      </c>
      <c r="I27" s="46">
        <v>35.01067909759652</v>
      </c>
      <c r="J27" s="46">
        <v>45.20378034658256</v>
      </c>
      <c r="K27" s="47">
        <v>32.11340180683178</v>
      </c>
      <c r="L27" s="46">
        <v>32.020843597078745</v>
      </c>
      <c r="M27" s="46">
        <v>31.060047712085396</v>
      </c>
      <c r="N27" s="46">
        <v>34.63670199628689</v>
      </c>
      <c r="O27" s="46">
        <v>44.90565104397004</v>
      </c>
      <c r="P27" s="47">
        <v>32.468116406815035</v>
      </c>
    </row>
    <row r="28" spans="1:16" ht="15" hidden="1" outlineLevel="1">
      <c r="A28">
        <v>19</v>
      </c>
      <c r="B28" s="44">
        <v>4263.939033432789</v>
      </c>
      <c r="C28" s="45">
        <v>2946.535874913895</v>
      </c>
      <c r="D28" s="45">
        <v>762.6102833969964</v>
      </c>
      <c r="E28" s="45">
        <v>642.496742485828</v>
      </c>
      <c r="F28" s="45">
        <v>2719.1969766374477</v>
      </c>
      <c r="G28" s="88">
        <v>34.70037555537587</v>
      </c>
      <c r="H28" s="46">
        <v>37.582036563805005</v>
      </c>
      <c r="I28" s="46">
        <v>38.10527617554959</v>
      </c>
      <c r="J28" s="46">
        <v>47.190523892046826</v>
      </c>
      <c r="K28" s="47">
        <v>35.49056938736295</v>
      </c>
      <c r="L28" s="46">
        <v>34.12138435047741</v>
      </c>
      <c r="M28" s="46">
        <v>33.066339937733325</v>
      </c>
      <c r="N28" s="46">
        <v>36.35779773533365</v>
      </c>
      <c r="O28" s="46">
        <v>46.07475428865075</v>
      </c>
      <c r="P28" s="47">
        <v>34.39525821517614</v>
      </c>
    </row>
    <row r="29" spans="1:16" ht="15" hidden="1" outlineLevel="1">
      <c r="A29">
        <v>20</v>
      </c>
      <c r="B29" s="44">
        <v>4282.568358780106</v>
      </c>
      <c r="C29" s="45">
        <v>2956.930759182263</v>
      </c>
      <c r="D29" s="45">
        <v>768.3976915517317</v>
      </c>
      <c r="E29" s="45">
        <v>633.7543716218943</v>
      </c>
      <c r="F29" s="45">
        <v>2725.4982767636875</v>
      </c>
      <c r="G29" s="88">
        <v>50.08571298283752</v>
      </c>
      <c r="H29" s="46">
        <v>36.26998813180481</v>
      </c>
      <c r="I29" s="46">
        <v>39.32305931372654</v>
      </c>
      <c r="J29" s="46">
        <v>47.80405356770459</v>
      </c>
      <c r="K29" s="47">
        <v>35.435561238248255</v>
      </c>
      <c r="L29" s="46">
        <v>34.0326956932111</v>
      </c>
      <c r="M29" s="46">
        <v>33.04933957371842</v>
      </c>
      <c r="N29" s="46">
        <v>36.26596241320075</v>
      </c>
      <c r="O29" s="46">
        <v>45.853826686019495</v>
      </c>
      <c r="P29" s="47">
        <v>34.095000789954874</v>
      </c>
    </row>
    <row r="30" spans="1:16" ht="15" hidden="1" outlineLevel="1">
      <c r="A30">
        <v>21</v>
      </c>
      <c r="B30" s="44">
        <v>4288.466991308213</v>
      </c>
      <c r="C30" s="45">
        <v>2965.343466582275</v>
      </c>
      <c r="D30" s="45">
        <v>770.2843967660649</v>
      </c>
      <c r="E30" s="45">
        <v>624.2597921265678</v>
      </c>
      <c r="F30" s="45">
        <v>2729.7723726106215</v>
      </c>
      <c r="G30" s="88">
        <v>41.11531661836088</v>
      </c>
      <c r="H30" s="46">
        <v>34.916622976298385</v>
      </c>
      <c r="I30" s="46">
        <v>38.00797605474759</v>
      </c>
      <c r="J30" s="46">
        <v>45.7347670863072</v>
      </c>
      <c r="K30" s="47">
        <v>34.5213041354691</v>
      </c>
      <c r="L30" s="46">
        <v>34.364846579170006</v>
      </c>
      <c r="M30" s="46">
        <v>33.13167016442416</v>
      </c>
      <c r="N30" s="46">
        <v>36.456024652838245</v>
      </c>
      <c r="O30" s="46">
        <v>45.36260705584903</v>
      </c>
      <c r="P30" s="47">
        <v>34.25444263167655</v>
      </c>
    </row>
    <row r="31" spans="1:16" ht="15" hidden="1" outlineLevel="1">
      <c r="A31">
        <v>22</v>
      </c>
      <c r="B31" s="44">
        <v>4283.006134800111</v>
      </c>
      <c r="C31" s="45">
        <v>2970.5740587806768</v>
      </c>
      <c r="D31" s="45">
        <v>771.7523015585322</v>
      </c>
      <c r="E31" s="45">
        <v>616.9664133105662</v>
      </c>
      <c r="F31" s="45">
        <v>2732.532026223751</v>
      </c>
      <c r="G31" s="88">
        <v>45.787590590191265</v>
      </c>
      <c r="H31" s="46">
        <v>36.728150538105275</v>
      </c>
      <c r="I31" s="46">
        <v>42.15507682221778</v>
      </c>
      <c r="J31" s="46">
        <v>46.60961903834255</v>
      </c>
      <c r="K31" s="47">
        <v>36.97108806762432</v>
      </c>
      <c r="L31" s="46">
        <v>34.64101742347155</v>
      </c>
      <c r="M31" s="46">
        <v>33.42884467565843</v>
      </c>
      <c r="N31" s="46">
        <v>37.02502891145058</v>
      </c>
      <c r="O31" s="46">
        <v>45.117038949682225</v>
      </c>
      <c r="P31" s="47">
        <v>34.80358405178593</v>
      </c>
    </row>
    <row r="32" spans="1:16" ht="15" hidden="1" outlineLevel="1">
      <c r="A32">
        <v>23</v>
      </c>
      <c r="B32" s="44">
        <v>4262.174488237719</v>
      </c>
      <c r="C32" s="45">
        <v>2970.15817622219</v>
      </c>
      <c r="D32" s="45">
        <v>774.260854277727</v>
      </c>
      <c r="E32" s="45">
        <v>611.2872387088103</v>
      </c>
      <c r="F32" s="45">
        <v>2732.070898657356</v>
      </c>
      <c r="G32" s="88">
        <v>41.64996418600576</v>
      </c>
      <c r="H32" s="46">
        <v>36.33900812599714</v>
      </c>
      <c r="I32" s="46">
        <v>43.441377290414735</v>
      </c>
      <c r="J32" s="46">
        <v>46.00516774635101</v>
      </c>
      <c r="K32" s="47">
        <v>34.960563720435104</v>
      </c>
      <c r="L32" s="46">
        <v>34.31712619194028</v>
      </c>
      <c r="M32" s="46">
        <v>33.46196421436855</v>
      </c>
      <c r="N32" s="46">
        <v>37.33580947129165</v>
      </c>
      <c r="O32" s="46">
        <v>45.43778366651644</v>
      </c>
      <c r="P32" s="47">
        <v>34.44283405136604</v>
      </c>
    </row>
    <row r="33" spans="1:16" ht="15" hidden="1" outlineLevel="1">
      <c r="A33">
        <v>24</v>
      </c>
      <c r="B33" s="44">
        <v>4245.090655098874</v>
      </c>
      <c r="C33" s="45">
        <v>2976.087956360146</v>
      </c>
      <c r="D33" s="45">
        <v>777.2348379473955</v>
      </c>
      <c r="E33" s="45">
        <v>605.5765624476378</v>
      </c>
      <c r="F33" s="45">
        <v>2729.7643482717385</v>
      </c>
      <c r="G33" s="88">
        <v>40.31437239270735</v>
      </c>
      <c r="H33" s="46">
        <v>42.625872884125755</v>
      </c>
      <c r="I33" s="46">
        <v>39.00149702876323</v>
      </c>
      <c r="J33" s="46">
        <v>49.09771284903528</v>
      </c>
      <c r="K33" s="47">
        <v>34.42288745855603</v>
      </c>
      <c r="L33" s="46">
        <v>34.23774981397704</v>
      </c>
      <c r="M33" s="46">
        <v>33.868918747912645</v>
      </c>
      <c r="N33" s="46">
        <v>36.78735571726797</v>
      </c>
      <c r="O33" s="46">
        <v>45.34890430843827</v>
      </c>
      <c r="P33" s="47">
        <v>34.29473253666943</v>
      </c>
    </row>
    <row r="34" spans="1:16" ht="15" hidden="1" outlineLevel="1">
      <c r="A34">
        <v>25</v>
      </c>
      <c r="B34" s="44">
        <v>4235.654530442315</v>
      </c>
      <c r="C34" s="45">
        <v>2974.6568906025013</v>
      </c>
      <c r="D34" s="45">
        <v>779.163760114445</v>
      </c>
      <c r="E34" s="45">
        <v>600.5762164814969</v>
      </c>
      <c r="F34" s="45">
        <v>2725.1085348709207</v>
      </c>
      <c r="G34" s="88">
        <v>47.62065127359043</v>
      </c>
      <c r="H34" s="46">
        <v>46.34793655205992</v>
      </c>
      <c r="I34" s="46">
        <v>46.5054826667442</v>
      </c>
      <c r="J34" s="46">
        <v>49.04173935720726</v>
      </c>
      <c r="K34" s="47">
        <v>43.51807912367535</v>
      </c>
      <c r="L34" s="46">
        <v>34.54252235980612</v>
      </c>
      <c r="M34" s="46">
        <v>33.59029018777754</v>
      </c>
      <c r="N34" s="46">
        <v>37.87792917174081</v>
      </c>
      <c r="O34" s="46">
        <v>45.77201674308855</v>
      </c>
      <c r="P34" s="47">
        <v>34.69367484199259</v>
      </c>
    </row>
    <row r="35" spans="1:16" ht="15" hidden="1" outlineLevel="1">
      <c r="A35">
        <v>26</v>
      </c>
      <c r="B35" s="44">
        <v>4220.907360350844</v>
      </c>
      <c r="C35" s="45">
        <v>2973.0472982438173</v>
      </c>
      <c r="D35" s="45">
        <v>780.9707439136978</v>
      </c>
      <c r="E35" s="45">
        <v>596.159321564116</v>
      </c>
      <c r="F35" s="45">
        <v>2720.178681458352</v>
      </c>
      <c r="G35" s="88">
        <v>51.984175193528905</v>
      </c>
      <c r="H35" s="46">
        <v>44.555148346638816</v>
      </c>
      <c r="I35" s="46">
        <v>46.24398390076267</v>
      </c>
      <c r="J35" s="46">
        <v>46.06670087076703</v>
      </c>
      <c r="K35" s="47">
        <v>45.14518590087428</v>
      </c>
      <c r="L35" s="46">
        <v>34.1890366860378</v>
      </c>
      <c r="M35" s="46">
        <v>33.34282150069389</v>
      </c>
      <c r="N35" s="46">
        <v>37.6450269755261</v>
      </c>
      <c r="O35" s="46">
        <v>44.6440622816294</v>
      </c>
      <c r="P35" s="47">
        <v>33.98451191073252</v>
      </c>
    </row>
    <row r="36" spans="1:16" ht="15" hidden="1" outlineLevel="1">
      <c r="A36">
        <v>27</v>
      </c>
      <c r="B36" s="44">
        <v>4207.65752368709</v>
      </c>
      <c r="C36" s="45">
        <v>2973.28998913227</v>
      </c>
      <c r="D36" s="45">
        <v>781.9120323043587</v>
      </c>
      <c r="E36" s="45">
        <v>592.6087411844992</v>
      </c>
      <c r="F36" s="45">
        <v>2719.1438109568107</v>
      </c>
      <c r="G36" s="88">
        <v>55.84744942944628</v>
      </c>
      <c r="H36" s="46">
        <v>48.71199450552975</v>
      </c>
      <c r="I36" s="46">
        <v>49.94445159436586</v>
      </c>
      <c r="J36" s="46">
        <v>49.75256192108832</v>
      </c>
      <c r="K36" s="47">
        <v>43.273394698555194</v>
      </c>
      <c r="L36" s="46">
        <v>34.605235025369986</v>
      </c>
      <c r="M36" s="46">
        <v>33.79851711997302</v>
      </c>
      <c r="N36" s="46">
        <v>37.869703196935696</v>
      </c>
      <c r="O36" s="46">
        <v>44.41362005394537</v>
      </c>
      <c r="P36" s="47">
        <v>34.804083504105556</v>
      </c>
    </row>
    <row r="37" spans="1:16" ht="15" hidden="1" outlineLevel="1">
      <c r="A37">
        <v>28</v>
      </c>
      <c r="B37" s="44">
        <v>4189.22507867619</v>
      </c>
      <c r="C37" s="45">
        <v>2972.552271362134</v>
      </c>
      <c r="D37" s="45">
        <v>788.518834684572</v>
      </c>
      <c r="E37" s="45">
        <v>590.5485861579317</v>
      </c>
      <c r="F37" s="45">
        <v>2707.4114351970875</v>
      </c>
      <c r="G37" s="88">
        <v>48.42940237986592</v>
      </c>
      <c r="H37" s="46">
        <v>47.49351401500979</v>
      </c>
      <c r="I37" s="46">
        <v>62.44331703225202</v>
      </c>
      <c r="J37" s="46">
        <v>45.46223469044568</v>
      </c>
      <c r="K37" s="47">
        <v>41.42108977497303</v>
      </c>
      <c r="L37" s="46">
        <v>34.302054221372025</v>
      </c>
      <c r="M37" s="46">
        <v>33.88827652072846</v>
      </c>
      <c r="N37" s="46">
        <v>37.025500595766026</v>
      </c>
      <c r="O37" s="46">
        <v>45.038932117428466</v>
      </c>
      <c r="P37" s="47">
        <v>34.12979932174049</v>
      </c>
    </row>
    <row r="38" spans="1:16" ht="15" hidden="1" outlineLevel="1">
      <c r="A38">
        <v>29</v>
      </c>
      <c r="B38" s="44">
        <v>4174.1089361419345</v>
      </c>
      <c r="C38" s="45">
        <v>2968.148276152292</v>
      </c>
      <c r="D38" s="45">
        <v>783.2633217855882</v>
      </c>
      <c r="E38" s="45">
        <v>594.1333293527831</v>
      </c>
      <c r="F38" s="45">
        <v>2695.366535823228</v>
      </c>
      <c r="G38" s="88">
        <v>55.72793378390717</v>
      </c>
      <c r="H38" s="46">
        <v>53.686287525688854</v>
      </c>
      <c r="I38" s="46">
        <v>45.330057194611754</v>
      </c>
      <c r="J38" s="46">
        <v>47.05702158213488</v>
      </c>
      <c r="K38" s="47">
        <v>43.681618955229226</v>
      </c>
      <c r="L38" s="46">
        <v>33.58318181039348</v>
      </c>
      <c r="M38" s="46">
        <v>33.41501809919192</v>
      </c>
      <c r="N38" s="46">
        <v>35.999555612400414</v>
      </c>
      <c r="O38" s="46">
        <v>45.590590966725784</v>
      </c>
      <c r="P38" s="47">
        <v>32.753733942788614</v>
      </c>
    </row>
    <row r="39" spans="1:16" ht="15" hidden="1" outlineLevel="1">
      <c r="A39">
        <v>30</v>
      </c>
      <c r="B39" s="44">
        <v>4165.942708314404</v>
      </c>
      <c r="C39" s="45">
        <v>2957.2252111068415</v>
      </c>
      <c r="D39" s="45">
        <v>779.3449502401982</v>
      </c>
      <c r="E39" s="45">
        <v>593.9016099990786</v>
      </c>
      <c r="F39" s="45">
        <v>2688.056118695235</v>
      </c>
      <c r="G39" s="88">
        <v>63.62089817447326</v>
      </c>
      <c r="H39" s="46">
        <v>47.42228423487054</v>
      </c>
      <c r="I39" s="46">
        <v>44.45629179868575</v>
      </c>
      <c r="J39" s="46">
        <v>45.91316960681741</v>
      </c>
      <c r="K39" s="47">
        <v>43.16462332248428</v>
      </c>
      <c r="L39" s="46">
        <v>33.10107717496307</v>
      </c>
      <c r="M39" s="46">
        <v>32.31470543124097</v>
      </c>
      <c r="N39" s="46">
        <v>36.15246668886166</v>
      </c>
      <c r="O39" s="46">
        <v>44.93947112169028</v>
      </c>
      <c r="P39" s="47">
        <v>32.724510361764324</v>
      </c>
    </row>
    <row r="40" spans="1:16" ht="15" hidden="1" outlineLevel="1">
      <c r="A40">
        <v>31</v>
      </c>
      <c r="B40" s="44">
        <v>4164.063057587583</v>
      </c>
      <c r="C40" s="45">
        <v>2950.890724051406</v>
      </c>
      <c r="D40" s="45">
        <v>775.5844265634947</v>
      </c>
      <c r="E40" s="45">
        <v>595.3919101157962</v>
      </c>
      <c r="F40" s="45">
        <v>2688.1164847016553</v>
      </c>
      <c r="G40" s="88">
        <v>68.05296723126641</v>
      </c>
      <c r="H40" s="46">
        <v>49.01545805004997</v>
      </c>
      <c r="I40" s="46">
        <v>66.05756313199183</v>
      </c>
      <c r="J40" s="46">
        <v>44.08882449913392</v>
      </c>
      <c r="K40" s="47">
        <v>46.044264802151545</v>
      </c>
      <c r="L40" s="46">
        <v>32.7319960672157</v>
      </c>
      <c r="M40" s="46">
        <v>31.442421734766388</v>
      </c>
      <c r="N40" s="46">
        <v>35.45782000313861</v>
      </c>
      <c r="O40" s="46">
        <v>44.19534522666578</v>
      </c>
      <c r="P40" s="47">
        <v>32.33247859933652</v>
      </c>
    </row>
    <row r="41" spans="1:16" ht="15" hidden="1" outlineLevel="1">
      <c r="A41">
        <v>32</v>
      </c>
      <c r="B41" s="44">
        <v>4170.767063536165</v>
      </c>
      <c r="C41" s="45">
        <v>2955.5238216998964</v>
      </c>
      <c r="D41" s="45">
        <v>773.906058353995</v>
      </c>
      <c r="E41" s="45">
        <v>600.9628856745446</v>
      </c>
      <c r="F41" s="45">
        <v>2692.6355644627374</v>
      </c>
      <c r="G41" s="88">
        <v>66.24787276556228</v>
      </c>
      <c r="H41" s="46">
        <v>47.87108464877827</v>
      </c>
      <c r="I41" s="46">
        <v>80.94030956046007</v>
      </c>
      <c r="J41" s="46">
        <v>45.1373940763034</v>
      </c>
      <c r="K41" s="47">
        <v>44.644587741457556</v>
      </c>
      <c r="L41" s="46">
        <v>32.63955103643595</v>
      </c>
      <c r="M41" s="46">
        <v>31.707175087710972</v>
      </c>
      <c r="N41" s="46">
        <v>35.1786174215923</v>
      </c>
      <c r="O41" s="46">
        <v>44.268117903680164</v>
      </c>
      <c r="P41" s="47">
        <v>31.916756301600813</v>
      </c>
    </row>
    <row r="42" spans="1:16" ht="15" hidden="1" outlineLevel="1">
      <c r="A42">
        <v>33</v>
      </c>
      <c r="B42" s="44">
        <v>4170.845682997415</v>
      </c>
      <c r="C42" s="45">
        <v>2961.437212582489</v>
      </c>
      <c r="D42" s="45">
        <v>774.4069785216714</v>
      </c>
      <c r="E42" s="45">
        <v>608.8323583178762</v>
      </c>
      <c r="F42" s="45">
        <v>2697.903264929245</v>
      </c>
      <c r="G42" s="88">
        <v>50.30740311775282</v>
      </c>
      <c r="H42" s="46">
        <v>40.98715147545556</v>
      </c>
      <c r="I42" s="46">
        <v>75.21458195985525</v>
      </c>
      <c r="J42" s="46">
        <v>44.822092670350614</v>
      </c>
      <c r="K42" s="47">
        <v>33.47708192629116</v>
      </c>
      <c r="L42" s="46">
        <v>31.850150411543535</v>
      </c>
      <c r="M42" s="46">
        <v>31.11961046588417</v>
      </c>
      <c r="N42" s="46">
        <v>34.52699666822281</v>
      </c>
      <c r="O42" s="46">
        <v>44.55416772791005</v>
      </c>
      <c r="P42" s="47">
        <v>31.49532881541311</v>
      </c>
    </row>
    <row r="43" spans="1:16" ht="15" hidden="1" outlineLevel="1">
      <c r="A43">
        <v>34</v>
      </c>
      <c r="B43" s="44">
        <v>4190.468200153714</v>
      </c>
      <c r="C43" s="45">
        <v>2974.677470531484</v>
      </c>
      <c r="D43" s="45">
        <v>774.5086552994993</v>
      </c>
      <c r="E43" s="45">
        <v>618.4074427310557</v>
      </c>
      <c r="F43" s="45">
        <v>2707.683314457343</v>
      </c>
      <c r="G43" s="88">
        <v>38.64605345169965</v>
      </c>
      <c r="H43" s="46">
        <v>42.533825173325496</v>
      </c>
      <c r="I43" s="46">
        <v>68.31197491281297</v>
      </c>
      <c r="J43" s="46">
        <v>49.24477541854376</v>
      </c>
      <c r="K43" s="47">
        <v>32.36887109812599</v>
      </c>
      <c r="L43" s="46">
        <v>31.576358075605235</v>
      </c>
      <c r="M43" s="46">
        <v>31.185369651422132</v>
      </c>
      <c r="N43" s="46">
        <v>34.59341568336586</v>
      </c>
      <c r="O43" s="46">
        <v>44.49959267327537</v>
      </c>
      <c r="P43" s="47">
        <v>31.48363882130686</v>
      </c>
    </row>
    <row r="44" spans="1:16" ht="15" hidden="1" outlineLevel="1">
      <c r="A44">
        <v>35</v>
      </c>
      <c r="B44" s="44">
        <v>4195.5507891262005</v>
      </c>
      <c r="C44" s="45">
        <v>2961.6030582144845</v>
      </c>
      <c r="D44" s="45">
        <v>778.0700380187712</v>
      </c>
      <c r="E44" s="45">
        <v>629.1672903908982</v>
      </c>
      <c r="F44" s="45">
        <v>2708.862823799198</v>
      </c>
      <c r="G44" s="88">
        <v>34.73715465658877</v>
      </c>
      <c r="H44" s="46">
        <v>34.192747557302305</v>
      </c>
      <c r="I44" s="46">
        <v>51.25704935773804</v>
      </c>
      <c r="J44" s="46">
        <v>48.53251017983085</v>
      </c>
      <c r="K44" s="47">
        <v>31.277703339515774</v>
      </c>
      <c r="L44" s="46">
        <v>30.617506569964817</v>
      </c>
      <c r="M44" s="46">
        <v>30.230170914765154</v>
      </c>
      <c r="N44" s="46">
        <v>33.85821819122444</v>
      </c>
      <c r="O44" s="46">
        <v>44.003215333576605</v>
      </c>
      <c r="P44" s="47">
        <v>30.66776344006254</v>
      </c>
    </row>
    <row r="45" spans="1:16" ht="15" hidden="1" outlineLevel="1">
      <c r="A45">
        <v>36</v>
      </c>
      <c r="B45" s="44">
        <v>4271.053773188582</v>
      </c>
      <c r="C45" s="45">
        <v>2975.102462052726</v>
      </c>
      <c r="D45" s="45">
        <v>783.2692291380196</v>
      </c>
      <c r="E45" s="45">
        <v>642.6472309634709</v>
      </c>
      <c r="F45" s="45">
        <v>2725.2134278376816</v>
      </c>
      <c r="G45" s="88">
        <v>41.27947959820801</v>
      </c>
      <c r="H45" s="46">
        <v>38.48032964946627</v>
      </c>
      <c r="I45" s="46">
        <v>44.77889413578513</v>
      </c>
      <c r="J45" s="46">
        <v>46.14146777530082</v>
      </c>
      <c r="K45" s="47">
        <v>35.71680986634941</v>
      </c>
      <c r="L45" s="46">
        <v>34.272558076496736</v>
      </c>
      <c r="M45" s="46">
        <v>33.9302079188616</v>
      </c>
      <c r="N45" s="46">
        <v>36.36298673280272</v>
      </c>
      <c r="O45" s="46">
        <v>45.31263533975475</v>
      </c>
      <c r="P45" s="47">
        <v>33.74910152277268</v>
      </c>
    </row>
    <row r="46" spans="1:16" ht="15" hidden="1" outlineLevel="1">
      <c r="A46">
        <v>37</v>
      </c>
      <c r="B46" s="44">
        <v>4327.574970455643</v>
      </c>
      <c r="C46" s="45">
        <v>3003.309296459678</v>
      </c>
      <c r="D46" s="45">
        <v>792.6649960996745</v>
      </c>
      <c r="E46" s="45">
        <v>651.4759375156227</v>
      </c>
      <c r="F46" s="45">
        <v>2743.155876723767</v>
      </c>
      <c r="G46" s="88">
        <v>42.09251942276689</v>
      </c>
      <c r="H46" s="46">
        <v>47.428678015992034</v>
      </c>
      <c r="I46" s="46">
        <v>47.68489021831189</v>
      </c>
      <c r="J46" s="46">
        <v>48.001348190271884</v>
      </c>
      <c r="K46" s="47">
        <v>40.12643372430729</v>
      </c>
      <c r="L46" s="46">
        <v>38.12876602274162</v>
      </c>
      <c r="M46" s="46">
        <v>38.36464163663522</v>
      </c>
      <c r="N46" s="46">
        <v>39.642692720897884</v>
      </c>
      <c r="O46" s="46">
        <v>47.567559933420725</v>
      </c>
      <c r="P46" s="47">
        <v>37.41702033504372</v>
      </c>
    </row>
    <row r="47" spans="1:16" ht="15" hidden="1" outlineLevel="1">
      <c r="A47">
        <v>38</v>
      </c>
      <c r="B47" s="44">
        <v>4326.930031396672</v>
      </c>
      <c r="C47" s="45">
        <v>3029.2888181769204</v>
      </c>
      <c r="D47" s="45">
        <v>807.5772000289232</v>
      </c>
      <c r="E47" s="45">
        <v>655.8622569920104</v>
      </c>
      <c r="F47" s="45">
        <v>2760.4974015021226</v>
      </c>
      <c r="G47" s="88">
        <v>41.3850003582029</v>
      </c>
      <c r="H47" s="46">
        <v>47.5455092391494</v>
      </c>
      <c r="I47" s="46">
        <v>43.3749082361911</v>
      </c>
      <c r="J47" s="46">
        <v>50.49684785013724</v>
      </c>
      <c r="K47" s="47">
        <v>40.09898082223923</v>
      </c>
      <c r="L47" s="46">
        <v>38.79519584488877</v>
      </c>
      <c r="M47" s="46">
        <v>38.96923945281118</v>
      </c>
      <c r="N47" s="46">
        <v>40.623391469535164</v>
      </c>
      <c r="O47" s="46">
        <v>49.072316558936144</v>
      </c>
      <c r="P47" s="47">
        <v>38.2283813559223</v>
      </c>
    </row>
    <row r="48" spans="1:16" ht="15" hidden="1" outlineLevel="1">
      <c r="A48">
        <v>39</v>
      </c>
      <c r="B48" s="44">
        <v>4262.092701041303</v>
      </c>
      <c r="C48" s="45">
        <v>2979.90569436033</v>
      </c>
      <c r="D48" s="45">
        <v>817.3936649488737</v>
      </c>
      <c r="E48" s="45">
        <v>654.1663786149733</v>
      </c>
      <c r="F48" s="45">
        <v>2740.7619701947465</v>
      </c>
      <c r="G48" s="88">
        <v>36.41791068382592</v>
      </c>
      <c r="H48" s="46">
        <v>38.77680708946779</v>
      </c>
      <c r="I48" s="46">
        <v>43.00849136916661</v>
      </c>
      <c r="J48" s="46">
        <v>51.74481935157943</v>
      </c>
      <c r="K48" s="47">
        <v>35.95497214349542</v>
      </c>
      <c r="L48" s="46">
        <v>34.13836949040173</v>
      </c>
      <c r="M48" s="46">
        <v>33.252485605613764</v>
      </c>
      <c r="N48" s="46">
        <v>37.15100965838579</v>
      </c>
      <c r="O48" s="46">
        <v>47.942014020285015</v>
      </c>
      <c r="P48" s="47">
        <v>34.35837371073916</v>
      </c>
    </row>
    <row r="49" spans="1:16" ht="15" hidden="1" outlineLevel="1">
      <c r="A49">
        <v>40</v>
      </c>
      <c r="B49" s="44">
        <v>4173.675911668175</v>
      </c>
      <c r="C49" s="45">
        <v>2944.7186009243915</v>
      </c>
      <c r="D49" s="45">
        <v>814.3181452351091</v>
      </c>
      <c r="E49" s="45">
        <v>649.6505572480085</v>
      </c>
      <c r="F49" s="45">
        <v>2708.155599036998</v>
      </c>
      <c r="G49" s="88">
        <v>32.78228523917915</v>
      </c>
      <c r="H49" s="46">
        <v>35.903363217742225</v>
      </c>
      <c r="I49" s="46">
        <v>36.07494502894387</v>
      </c>
      <c r="J49" s="46">
        <v>47.41560393675586</v>
      </c>
      <c r="K49" s="47">
        <v>33.4158738793127</v>
      </c>
      <c r="L49" s="46">
        <v>31.28404833812702</v>
      </c>
      <c r="M49" s="46">
        <v>30.33758620025862</v>
      </c>
      <c r="N49" s="46">
        <v>35.09628867880676</v>
      </c>
      <c r="O49" s="46">
        <v>46.55844792674578</v>
      </c>
      <c r="P49" s="47">
        <v>31.93849690232588</v>
      </c>
    </row>
    <row r="50" spans="1:16" ht="15" hidden="1" outlineLevel="1">
      <c r="A50">
        <v>41</v>
      </c>
      <c r="B50" s="44">
        <v>4074.7571780713943</v>
      </c>
      <c r="C50" s="45">
        <v>2913.5847260472515</v>
      </c>
      <c r="D50" s="45">
        <v>803.2712381555527</v>
      </c>
      <c r="E50" s="45">
        <v>644.8423880133959</v>
      </c>
      <c r="F50" s="45">
        <v>2645.2707535637173</v>
      </c>
      <c r="G50" s="88">
        <v>29.635608495141458</v>
      </c>
      <c r="H50" s="46">
        <v>29.589540408683515</v>
      </c>
      <c r="I50" s="46">
        <v>34.886320913715075</v>
      </c>
      <c r="J50" s="46">
        <v>45.59255753511097</v>
      </c>
      <c r="K50" s="47">
        <v>31.592633641792354</v>
      </c>
      <c r="L50" s="46">
        <v>29.573561448949846</v>
      </c>
      <c r="M50" s="46">
        <v>27.887762376326613</v>
      </c>
      <c r="N50" s="46">
        <v>33.45663605969391</v>
      </c>
      <c r="O50" s="46">
        <v>45.269972771055755</v>
      </c>
      <c r="P50" s="47">
        <v>30.179929025729447</v>
      </c>
    </row>
    <row r="51" spans="1:16" ht="15" hidden="1" outlineLevel="1">
      <c r="A51">
        <v>42</v>
      </c>
      <c r="B51" s="44">
        <v>3971.0396630929317</v>
      </c>
      <c r="C51" s="45">
        <v>2844.5713593418245</v>
      </c>
      <c r="D51" s="45">
        <v>787.660763562594</v>
      </c>
      <c r="E51" s="45">
        <v>632.6839141870003</v>
      </c>
      <c r="F51" s="45">
        <v>2575.8267970589886</v>
      </c>
      <c r="G51" s="88">
        <v>27.058334210012344</v>
      </c>
      <c r="H51" s="46">
        <v>25.820170882785366</v>
      </c>
      <c r="I51" s="46">
        <v>32.88006169593912</v>
      </c>
      <c r="J51" s="46">
        <v>42.006728605324405</v>
      </c>
      <c r="K51" s="47">
        <v>29.132806365252332</v>
      </c>
      <c r="L51" s="46">
        <v>27.088064182664336</v>
      </c>
      <c r="M51" s="46">
        <v>25.506297672012312</v>
      </c>
      <c r="N51" s="46">
        <v>31.21712335944452</v>
      </c>
      <c r="O51" s="46">
        <v>41.61175725727413</v>
      </c>
      <c r="P51" s="47">
        <v>27.73766695024303</v>
      </c>
    </row>
    <row r="52" spans="1:16" ht="15" hidden="1" outlineLevel="1">
      <c r="A52">
        <v>43</v>
      </c>
      <c r="B52" s="44">
        <v>3906.6483806579367</v>
      </c>
      <c r="C52" s="45">
        <v>2780.5300920877917</v>
      </c>
      <c r="D52" s="45">
        <v>767.86304511004</v>
      </c>
      <c r="E52" s="45">
        <v>618.1251724709635</v>
      </c>
      <c r="F52" s="45">
        <v>2481.463345617252</v>
      </c>
      <c r="G52" s="88">
        <v>26.555836559471516</v>
      </c>
      <c r="H52" s="46">
        <v>24.952070265967457</v>
      </c>
      <c r="I52" s="46">
        <v>32.03895039886777</v>
      </c>
      <c r="J52" s="46">
        <v>42.92573313518208</v>
      </c>
      <c r="K52" s="47">
        <v>27.86247408699698</v>
      </c>
      <c r="L52" s="46">
        <v>26.277090169999354</v>
      </c>
      <c r="M52" s="46">
        <v>24.542763393119742</v>
      </c>
      <c r="N52" s="46">
        <v>30.09112859545269</v>
      </c>
      <c r="O52" s="46">
        <v>40.706554063028264</v>
      </c>
      <c r="P52" s="47">
        <v>26.50128703237727</v>
      </c>
    </row>
    <row r="53" spans="1:16" ht="15" hidden="1" outlineLevel="1">
      <c r="A53">
        <v>44</v>
      </c>
      <c r="B53" s="44">
        <v>3822.843606157194</v>
      </c>
      <c r="C53" s="45">
        <v>2698.1286737150062</v>
      </c>
      <c r="D53" s="45">
        <v>745.4325573322101</v>
      </c>
      <c r="E53" s="45">
        <v>600.403776760947</v>
      </c>
      <c r="F53" s="45">
        <v>2384.476305638716</v>
      </c>
      <c r="G53" s="88">
        <v>23.39969872275941</v>
      </c>
      <c r="H53" s="46">
        <v>22.348996582289566</v>
      </c>
      <c r="I53" s="46">
        <v>28.523425865202498</v>
      </c>
      <c r="J53" s="46">
        <v>39.03367584358917</v>
      </c>
      <c r="K53" s="47">
        <v>24.53140827594425</v>
      </c>
      <c r="L53" s="46">
        <v>23.41819259531973</v>
      </c>
      <c r="M53" s="46">
        <v>22.197300259114815</v>
      </c>
      <c r="N53" s="46">
        <v>27.13953861042086</v>
      </c>
      <c r="O53" s="46">
        <v>39.07108484186452</v>
      </c>
      <c r="P53" s="47">
        <v>23.35759159188293</v>
      </c>
    </row>
    <row r="54" spans="1:16" ht="15" hidden="1" outlineLevel="1">
      <c r="A54">
        <v>45</v>
      </c>
      <c r="B54" s="44">
        <v>3842.674734615398</v>
      </c>
      <c r="C54" s="45">
        <v>2624.7455671838193</v>
      </c>
      <c r="D54" s="45">
        <v>720.1524334501165</v>
      </c>
      <c r="E54" s="45">
        <v>581.1842708078228</v>
      </c>
      <c r="F54" s="45">
        <v>2299.8216750914653</v>
      </c>
      <c r="G54" s="88">
        <v>27.89746025681118</v>
      </c>
      <c r="H54" s="46">
        <v>28.10305439443391</v>
      </c>
      <c r="I54" s="46">
        <v>30.632201923717737</v>
      </c>
      <c r="J54" s="46">
        <v>42.34439059982887</v>
      </c>
      <c r="K54" s="47">
        <v>27.245935400065584</v>
      </c>
      <c r="L54" s="46">
        <v>27.70459796353769</v>
      </c>
      <c r="M54" s="46">
        <v>26.281287565112034</v>
      </c>
      <c r="N54" s="46">
        <v>29.86798756842331</v>
      </c>
      <c r="O54" s="46">
        <v>40.807751471375575</v>
      </c>
      <c r="P54" s="47">
        <v>26.573075102980408</v>
      </c>
    </row>
    <row r="55" spans="1:16" ht="15" hidden="1" outlineLevel="1">
      <c r="A55">
        <v>46</v>
      </c>
      <c r="B55" s="44">
        <v>3788.8665915435695</v>
      </c>
      <c r="C55" s="45">
        <v>2565.48154465986</v>
      </c>
      <c r="D55" s="45">
        <v>705.4891489112573</v>
      </c>
      <c r="E55" s="45">
        <v>562.8526022915579</v>
      </c>
      <c r="F55" s="45">
        <v>2233.29153119079</v>
      </c>
      <c r="G55" s="88">
        <v>26.372897902551326</v>
      </c>
      <c r="H55" s="46">
        <v>25.0337573161269</v>
      </c>
      <c r="I55" s="46">
        <v>29.139500593320342</v>
      </c>
      <c r="J55" s="46">
        <v>39.82864944078262</v>
      </c>
      <c r="K55" s="47">
        <v>25.294502516252408</v>
      </c>
      <c r="L55" s="46">
        <v>25.912021627765096</v>
      </c>
      <c r="M55" s="46">
        <v>24.702016444129423</v>
      </c>
      <c r="N55" s="46">
        <v>28.419567428911062</v>
      </c>
      <c r="O55" s="46">
        <v>39.348741277828594</v>
      </c>
      <c r="P55" s="47">
        <v>24.76464860842128</v>
      </c>
    </row>
    <row r="56" spans="1:16" ht="15" collapsed="1">
      <c r="A56">
        <v>47</v>
      </c>
      <c r="B56" s="44">
        <v>3723.6105312961477</v>
      </c>
      <c r="C56" s="45">
        <v>2518.5311093020305</v>
      </c>
      <c r="D56" s="45">
        <v>686.2319901461485</v>
      </c>
      <c r="E56" s="45">
        <v>547.198703491288</v>
      </c>
      <c r="F56" s="45">
        <v>2319.133651704884</v>
      </c>
      <c r="G56" s="88">
        <v>30.789188112380476</v>
      </c>
      <c r="H56" s="46">
        <v>28.527232497288</v>
      </c>
      <c r="I56" s="46">
        <v>33.6556898600806</v>
      </c>
      <c r="J56" s="46">
        <v>42.44245759371826</v>
      </c>
      <c r="K56" s="47">
        <v>31.494758270473266</v>
      </c>
      <c r="L56" s="46">
        <v>29.824825381401396</v>
      </c>
      <c r="M56" s="46">
        <v>27.951406487717275</v>
      </c>
      <c r="N56" s="46">
        <v>32.82487493309347</v>
      </c>
      <c r="O56" s="46">
        <v>41.9639462578436</v>
      </c>
      <c r="P56" s="47">
        <v>30.20443903054597</v>
      </c>
    </row>
    <row r="57" spans="1:16" ht="15">
      <c r="A57">
        <v>48</v>
      </c>
      <c r="B57" s="48">
        <v>3659.821346620751</v>
      </c>
      <c r="C57" s="49">
        <v>2449.1784455457273</v>
      </c>
      <c r="D57" s="49">
        <v>765.2216521561122</v>
      </c>
      <c r="E57" s="49">
        <v>535.6086053325745</v>
      </c>
      <c r="F57" s="49">
        <v>2257.030336926617</v>
      </c>
      <c r="G57" s="89">
        <v>26.867608253586862</v>
      </c>
      <c r="H57" s="50">
        <v>24.153085639359023</v>
      </c>
      <c r="I57" s="50">
        <v>34.49359263167731</v>
      </c>
      <c r="J57" s="50">
        <v>40.99827263286974</v>
      </c>
      <c r="K57" s="51">
        <v>28.47321233918589</v>
      </c>
      <c r="L57" s="50">
        <v>26.79560050257224</v>
      </c>
      <c r="M57" s="50">
        <v>24.138563376418745</v>
      </c>
      <c r="N57" s="50">
        <v>32.635840111656115</v>
      </c>
      <c r="O57" s="50">
        <v>40.505753376845284</v>
      </c>
      <c r="P57" s="51">
        <v>27.22156241766833</v>
      </c>
    </row>
    <row r="58" spans="1:16" ht="15.75" customHeight="1">
      <c r="A58" s="16" t="s">
        <v>75</v>
      </c>
      <c r="G58" s="70">
        <f>SUMPRODUCT(G10:G57,B10:B57)/SUM(B10:B57)</f>
        <v>35.83889061266675</v>
      </c>
      <c r="H58" s="71">
        <f>SUMPRODUCT(H10:H57,C10:C57)/SUM(C10:C57)</f>
        <v>33.204099750738685</v>
      </c>
      <c r="I58" s="71">
        <f>SUMPRODUCT(I10:I57,D10:D57)/SUM(D10:D57)</f>
        <v>38.482815948996425</v>
      </c>
      <c r="J58" s="71">
        <f>SUMPRODUCT(J10:J57,E10:E57)/SUM(E10:E57)</f>
        <v>45.05043045277619</v>
      </c>
      <c r="K58" s="72">
        <f>SUMPRODUCT(K10:K57,F10:F57)/SUM(F10:F57)</f>
        <v>31.70423174215881</v>
      </c>
      <c r="L58" s="71">
        <f>SUMPRODUCT(L10:L57,B10:B57)/SUM(B10:B57)</f>
        <v>29.364285065146237</v>
      </c>
      <c r="M58" s="71">
        <f>SUMPRODUCT(M10:M57,C10:C57)/SUM(C10:C57)</f>
        <v>28.078208335141916</v>
      </c>
      <c r="N58" s="71">
        <f>SUMPRODUCT(N10:N57,D10:D57)/SUM(D10:D57)</f>
        <v>31.640984674815122</v>
      </c>
      <c r="O58" s="71">
        <f>SUMPRODUCT(O10:O57,E10:E57)/SUM(E10:E57)</f>
        <v>42.48488675685904</v>
      </c>
      <c r="P58" s="72">
        <f>SUMPRODUCT(P10:P57,F10:F57)/SUM(F10:F57)</f>
        <v>29.09738261002399</v>
      </c>
    </row>
    <row r="60" spans="3:7" ht="15">
      <c r="C60" t="s">
        <v>0</v>
      </c>
      <c r="D60" t="s">
        <v>1</v>
      </c>
      <c r="E60" t="s">
        <v>2</v>
      </c>
      <c r="F60" t="s">
        <v>3</v>
      </c>
      <c r="G60" t="s">
        <v>4</v>
      </c>
    </row>
    <row r="61" spans="1:16" s="37" customFormat="1" ht="15.75" customHeight="1">
      <c r="A61" s="35" t="s">
        <v>17</v>
      </c>
      <c r="B61" s="36" t="s">
        <v>72</v>
      </c>
      <c r="C61" s="90">
        <v>1.8</v>
      </c>
      <c r="D61" s="91">
        <v>1.6</v>
      </c>
      <c r="E61" s="91">
        <v>1.9</v>
      </c>
      <c r="F61" s="91">
        <v>1.1</v>
      </c>
      <c r="G61" s="92">
        <v>1.3</v>
      </c>
      <c r="H61" s="97" t="s">
        <v>81</v>
      </c>
      <c r="I61" s="98"/>
      <c r="J61" s="98"/>
      <c r="K61" s="98"/>
      <c r="L61" s="98"/>
      <c r="M61" s="98"/>
      <c r="N61" s="98"/>
      <c r="O61" s="98"/>
      <c r="P61" s="98"/>
    </row>
    <row r="62" spans="1:16" s="37" customFormat="1" ht="15.75" customHeight="1">
      <c r="A62" s="35" t="s">
        <v>18</v>
      </c>
      <c r="B62" s="36" t="s">
        <v>73</v>
      </c>
      <c r="C62" s="93">
        <v>1.7</v>
      </c>
      <c r="D62" s="94">
        <v>2.2</v>
      </c>
      <c r="E62" s="94">
        <v>2.9</v>
      </c>
      <c r="F62" s="94">
        <v>1</v>
      </c>
      <c r="G62" s="95">
        <v>1.9</v>
      </c>
      <c r="H62" s="97"/>
      <c r="I62" s="98"/>
      <c r="J62" s="98"/>
      <c r="K62" s="98"/>
      <c r="L62" s="98"/>
      <c r="M62" s="98"/>
      <c r="N62" s="98"/>
      <c r="O62" s="98"/>
      <c r="P62" s="98"/>
    </row>
    <row r="63" spans="1:8" s="34" customFormat="1" ht="15.75" customHeight="1">
      <c r="A63" s="12" t="s">
        <v>20</v>
      </c>
      <c r="C63" s="34">
        <v>100</v>
      </c>
      <c r="D63" s="34">
        <v>100</v>
      </c>
      <c r="E63" s="34">
        <v>100</v>
      </c>
      <c r="F63" s="34">
        <v>100</v>
      </c>
      <c r="G63" s="34">
        <v>100</v>
      </c>
      <c r="H63" s="34" t="s">
        <v>87</v>
      </c>
    </row>
  </sheetData>
  <sheetProtection/>
  <mergeCells count="3">
    <mergeCell ref="H61:P62"/>
    <mergeCell ref="L2:M2"/>
    <mergeCell ref="B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80" zoomScaleNormal="80" zoomScalePageLayoutView="0" workbookViewId="0" topLeftCell="A7">
      <selection activeCell="J32" sqref="J32"/>
    </sheetView>
  </sheetViews>
  <sheetFormatPr defaultColWidth="9.140625" defaultRowHeight="15"/>
  <cols>
    <col min="1" max="1" width="17.140625" style="0" customWidth="1"/>
    <col min="2" max="2" width="25.00390625" style="0" customWidth="1"/>
    <col min="3" max="3" width="12.7109375" style="0" customWidth="1"/>
    <col min="4" max="4" width="13.57421875" style="0" customWidth="1"/>
    <col min="5" max="5" width="10.28125" style="0" customWidth="1"/>
    <col min="6" max="7" width="11.00390625" style="0" customWidth="1"/>
    <col min="8" max="8" width="12.8515625" style="0" customWidth="1"/>
  </cols>
  <sheetData>
    <row r="1" ht="18.75">
      <c r="A1" s="66" t="s">
        <v>33</v>
      </c>
    </row>
    <row r="2" spans="3:8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38</v>
      </c>
    </row>
    <row r="3" spans="2:14" ht="15.75">
      <c r="B3" s="4" t="s">
        <v>24</v>
      </c>
      <c r="C3" s="55">
        <f>NSW_EL*NSW_P*NSW_PRAFL*NSW_VFOSL*(GST+1)</f>
        <v>153144.71828620217</v>
      </c>
      <c r="D3" s="56">
        <f>QLD_EL*QLD_P*QLD_PRAFL*QLD_VFOSL*(GST+1)</f>
        <v>1043737.7448960001</v>
      </c>
      <c r="E3" s="56">
        <f>SA_EL*SA_P*SA_PRAFL*SA_VFOSL*(GST+1)</f>
        <v>0</v>
      </c>
      <c r="F3" s="56">
        <f>TAS_EL*TAS_P*TAS_PRAFL*TAS_VFOSL*(GST+1)</f>
        <v>0</v>
      </c>
      <c r="G3" s="57">
        <f>VIC_EL*VIC_P*VIC_PRAFL*VIC_VFOSL*(GST+1)</f>
        <v>0</v>
      </c>
      <c r="K3" s="8"/>
      <c r="L3" s="8"/>
      <c r="M3" s="8"/>
      <c r="N3" s="8"/>
    </row>
    <row r="4" spans="2:7" ht="15.75">
      <c r="B4" s="4" t="s">
        <v>25</v>
      </c>
      <c r="C4" s="61">
        <f>NSW_EG*NSW_P*NSW_PRAFG*NSW_VFOSL*(GST+1)</f>
        <v>0</v>
      </c>
      <c r="D4" s="62">
        <f>QLD_EG*QLD_P*QLD_PRAFG*QLD_VFOSL*(GST+1)</f>
        <v>0</v>
      </c>
      <c r="E4" s="62">
        <f>SA_EG*SA_P*SA_PRAFG*SA_VFOSL*(GST+1)</f>
        <v>0</v>
      </c>
      <c r="F4" s="62">
        <f>TAS_EG*TAS_P*TAS_PRAFG*TAS_VFOSL*(GST+1)</f>
        <v>0</v>
      </c>
      <c r="G4" s="63">
        <f>VIC_EG*VIC_P*VIC_PRAFG*VIC_VFOSL*(GST+1)</f>
        <v>0</v>
      </c>
    </row>
    <row r="5" spans="1:7" ht="15">
      <c r="A5" s="1" t="s">
        <v>26</v>
      </c>
      <c r="C5" s="6"/>
      <c r="D5" s="6"/>
      <c r="E5" s="6"/>
      <c r="F5" s="6"/>
      <c r="G5" s="6"/>
    </row>
    <row r="6" spans="1:7" ht="15">
      <c r="A6" t="s">
        <v>27</v>
      </c>
      <c r="C6" s="6">
        <f>NSW_RD*NSW_P*NSW_PRAFR*NSW_VFOSL</f>
        <v>0</v>
      </c>
      <c r="D6" s="6">
        <f>QLD_RD*QLD_P*QLD_PRAFR*QLD_VFOSL</f>
        <v>0</v>
      </c>
      <c r="E6" s="6">
        <f>SA_RD*SA_P*SA_PRAFR*SA_VFOSL</f>
        <v>0</v>
      </c>
      <c r="F6" s="6">
        <f>TAS_RD*TAS_P*TAS_PRAFR*TAS_VFOSL</f>
        <v>0</v>
      </c>
      <c r="G6" s="6">
        <f>VIC_RD*VIC_P*VIC_PRAFR*VIC_VFOSL</f>
        <v>0</v>
      </c>
    </row>
    <row r="7" spans="1:7" ht="15">
      <c r="A7" t="s">
        <v>28</v>
      </c>
      <c r="C7" s="6">
        <f>NSW_RDS*(NSW_P*NSW_PRAFR*NSW_VFOSL-NSW_PDS)</f>
        <v>0</v>
      </c>
      <c r="D7" s="6">
        <f>QLD_RDS*(QLD_P*QLD_PRAFR*QLD_VFOSL-QLD_PDS)</f>
        <v>0</v>
      </c>
      <c r="E7" s="6">
        <f>SA_RDS*(SA_P*SA_PRAFR*SA_VFOSL-SA_PDS)</f>
        <v>0</v>
      </c>
      <c r="F7" s="6">
        <f>TAS_RDS*(TAS_P*TAS_PRAFR*TAS_VFOSL-TAS_PDS)</f>
        <v>0</v>
      </c>
      <c r="G7" s="6">
        <f>VIC_RDS*(VIC_P*VIC_PRAFR*VIC_VFOSL-VIC_PDS)</f>
        <v>0</v>
      </c>
    </row>
    <row r="8" spans="1:7" ht="15">
      <c r="A8" t="s">
        <v>29</v>
      </c>
      <c r="C8" s="6">
        <f>NSW_RDC*(NSW_P*NSW_PRAFR*NSW_VFOSL-NSW_P*NSW_PRAFRC*NSW_VFOSL)</f>
        <v>0</v>
      </c>
      <c r="D8" s="6">
        <f>QLD_RDC*(QLD_P*QLD_PRAFR*QLD_VFOSL-QLD_P*QLD_PRAFRC*QLD_VFOSL)</f>
        <v>0</v>
      </c>
      <c r="E8" s="6">
        <f>SA_RDC*(SA_P*SA_PRAFR*SA_VFOSL-SA_P*SA_PRAFRC*SA_VFOSL)</f>
        <v>0</v>
      </c>
      <c r="F8" s="6">
        <f>TAS_RDC*(TAS_P*TAS_PRAFR*TAS_VFOSL-TAS_P*TAS_PRAFRC*TAS_VFOSL)</f>
        <v>0</v>
      </c>
      <c r="G8" s="6">
        <f>VIC_RDC*(VIC_P*VIC_PRAFR*VIC_VFOSL-VIC_P*VIC_PRAFRC*VIC_VFOSL)</f>
        <v>0</v>
      </c>
    </row>
    <row r="9" spans="2:7" ht="15.75">
      <c r="B9" s="4" t="s">
        <v>30</v>
      </c>
      <c r="C9" s="52">
        <f>SUM(C6:C8)</f>
        <v>0</v>
      </c>
      <c r="D9" s="53">
        <f>SUM(D6:D8)</f>
        <v>0</v>
      </c>
      <c r="E9" s="53">
        <f>SUM(E6:E8)</f>
        <v>0</v>
      </c>
      <c r="F9" s="53">
        <f>SUM(F6:F8)</f>
        <v>0</v>
      </c>
      <c r="G9" s="54">
        <f>SUM(G6:G8)</f>
        <v>0</v>
      </c>
    </row>
    <row r="10" spans="1:7" ht="15">
      <c r="A10" s="1" t="s">
        <v>31</v>
      </c>
      <c r="C10" s="6"/>
      <c r="D10" s="6"/>
      <c r="E10" s="6"/>
      <c r="F10" s="6"/>
      <c r="G10" s="6"/>
    </row>
    <row r="11" spans="1:7" ht="15">
      <c r="A11" t="s">
        <v>27</v>
      </c>
      <c r="C11" s="6">
        <f>NSW_RC*NSW_P*NSW_PRAFR*NSW_VFOSL</f>
        <v>0</v>
      </c>
      <c r="D11" s="6">
        <f>QLD_RC*QLD_P*QLD_PRAFR*QLD_VFOSL</f>
        <v>0</v>
      </c>
      <c r="E11" s="6">
        <f>SA_RC*SA_P*SA_PRAFR*SA_VFOSL</f>
        <v>0</v>
      </c>
      <c r="F11" s="6">
        <f>TAS_RC*TAS_P*TAS_PRAFR*TAS_VFOSL</f>
        <v>0</v>
      </c>
      <c r="G11" s="6">
        <f>VIC_RC*VIC_P*VIC_PRAFR*VIC_VFOSL</f>
        <v>0</v>
      </c>
    </row>
    <row r="12" spans="1:7" ht="15">
      <c r="A12" t="s">
        <v>28</v>
      </c>
      <c r="C12" s="6">
        <f>NSW_RCS*(NSW_P*NSW_PRAFR*NSW_VFOSL-NSW_PCS)</f>
        <v>0</v>
      </c>
      <c r="D12" s="6">
        <f>QLD_RCS*(QLD_P*QLD_PRAFR*QLD_VFOSL-QLD_PCS)</f>
        <v>0</v>
      </c>
      <c r="E12" s="6">
        <f>SA_RCS*(SA_P*SA_PRAFR*SA_VFOSL-SA_PCS)</f>
        <v>0</v>
      </c>
      <c r="F12" s="6">
        <f>TAS_RCS*(TAS_P*TAS_PRAFR*TAS_VFOSL-TAS_PCS)</f>
        <v>0</v>
      </c>
      <c r="G12" s="6">
        <f>VIC_RCS*(VIC_P*VIC_PRAFR*VIC_VFOSL-VIC_PCS)</f>
        <v>0</v>
      </c>
    </row>
    <row r="13" spans="1:7" ht="15">
      <c r="A13" t="s">
        <v>29</v>
      </c>
      <c r="C13" s="6">
        <f>NSW_RCC*(NSW_P*NSW_PRAFR*NSW_VFOSL-NSW_P*NSW_PRAFRC*NSW_VFOSL)</f>
        <v>0</v>
      </c>
      <c r="D13" s="6">
        <f>QLD_RCC*(QLD_P*QLD_PRAFR*QLD_VFOSL-QLD_P*QLD_PRAFRC*QLD_VFOSL)</f>
        <v>0</v>
      </c>
      <c r="E13" s="6">
        <f>SA_RCC*(SA_P*SA_PRAFR*SA_VFOSL-SA_P*SA_PRAFRC*SA_VFOSL)</f>
        <v>0</v>
      </c>
      <c r="F13" s="6">
        <f>TAS_RCC*(TAS_P*TAS_PRAFR*TAS_VFOSL-TAS_P*TAS_PRAFRC*TAS_VFOSL)</f>
        <v>0</v>
      </c>
      <c r="G13" s="6">
        <f>VIC_RCC*(VIC_P*VIC_PRAFR*VIC_VFOSL-VIC_P*VIC_PRAFRC*VIC_VFOSL)</f>
        <v>0</v>
      </c>
    </row>
    <row r="14" spans="2:7" ht="15.75">
      <c r="B14" s="4" t="s">
        <v>32</v>
      </c>
      <c r="C14" s="52">
        <f>SUM(C11:C13)</f>
        <v>0</v>
      </c>
      <c r="D14" s="53">
        <f>SUM(D11:D13)</f>
        <v>0</v>
      </c>
      <c r="E14" s="53">
        <f>SUM(E11:E13)</f>
        <v>0</v>
      </c>
      <c r="F14" s="53">
        <f>SUM(F11:F13)</f>
        <v>0</v>
      </c>
      <c r="G14" s="54">
        <f>SUM(G11:G13)</f>
        <v>0</v>
      </c>
    </row>
    <row r="16" spans="1:7" ht="15.75">
      <c r="A16" s="100" t="s">
        <v>78</v>
      </c>
      <c r="B16" s="7" t="s">
        <v>40</v>
      </c>
      <c r="C16" s="55">
        <f>NSW_RDD</f>
        <v>0</v>
      </c>
      <c r="D16" s="56">
        <f>QLD_RDD</f>
        <v>0</v>
      </c>
      <c r="E16" s="56">
        <f>SA_RDD</f>
        <v>0</v>
      </c>
      <c r="F16" s="56">
        <f>TAS_RDD</f>
        <v>0</v>
      </c>
      <c r="G16" s="57">
        <f>VIC_RDD</f>
        <v>0</v>
      </c>
    </row>
    <row r="17" spans="1:7" ht="15.75">
      <c r="A17" s="100"/>
      <c r="B17" s="7" t="s">
        <v>39</v>
      </c>
      <c r="C17" s="61">
        <f>NSW_RCD</f>
        <v>0</v>
      </c>
      <c r="D17" s="62">
        <f>QLD_RCD</f>
        <v>0</v>
      </c>
      <c r="E17" s="62">
        <f>SA_RCD</f>
        <v>0</v>
      </c>
      <c r="F17" s="62">
        <f>TAS_RCD</f>
        <v>0</v>
      </c>
      <c r="G17" s="63">
        <f>VIC_RCD</f>
        <v>0</v>
      </c>
    </row>
    <row r="19" spans="2:7" ht="20.25">
      <c r="B19" s="66" t="s">
        <v>76</v>
      </c>
      <c r="C19" s="55">
        <f>(C3-C4+C9-C14+C16-C17)*(TOSL)</f>
        <v>5360065.140017076</v>
      </c>
      <c r="D19" s="56">
        <f>(D3-D4+D9-D14+D16-D17)*(TOSL)</f>
        <v>36530821.07136001</v>
      </c>
      <c r="E19" s="56">
        <f>(E3-E4+E9-E14+E16-E17)*(TOSL)</f>
        <v>0</v>
      </c>
      <c r="F19" s="56">
        <f>(F3-F4+F9-F14+F16-F17)*(TOSL)</f>
        <v>0</v>
      </c>
      <c r="G19" s="57">
        <f>(G3-G4+G9-G14+G16-G17)*(TOSL)</f>
        <v>0</v>
      </c>
    </row>
    <row r="20" spans="2:7" ht="20.25">
      <c r="B20" s="66" t="s">
        <v>77</v>
      </c>
      <c r="C20" s="58">
        <f>(C19-(C16-C17)*(TOSL))/NSW_VFOSL+(C16-C17)*(TOSL)</f>
        <v>2977813.9666761537</v>
      </c>
      <c r="D20" s="59">
        <f>(D19-(D16-D17)*(TOSL))/QLD_VFOSL+(D16-D17)*(TOSL)</f>
        <v>22831763.169600002</v>
      </c>
      <c r="E20" s="59">
        <f>(E19-(E16-E17)*(TOSL))/SA_VFOSL+(E16-E17)*(TOSL)</f>
        <v>0</v>
      </c>
      <c r="F20" s="59">
        <f>(F19-(F16-F17)*(TOSL))/TAS_VFOSL+(F16-F17)*(TOSL)</f>
        <v>0</v>
      </c>
      <c r="G20" s="60">
        <f>(G19-(G16-G17)*(TOSL))/VIC_VFOSL+(G16-G17)*(TOSL)</f>
        <v>0</v>
      </c>
    </row>
    <row r="21" spans="2:8" ht="20.25">
      <c r="B21" s="66" t="s">
        <v>34</v>
      </c>
      <c r="C21" s="61">
        <f>MAX(C19,C20)</f>
        <v>5360065.140017076</v>
      </c>
      <c r="D21" s="62">
        <f>MAX(D19,D20)</f>
        <v>36530821.07136001</v>
      </c>
      <c r="E21" s="62">
        <f>MAX(E19,E20)</f>
        <v>0</v>
      </c>
      <c r="F21" s="62">
        <f>MAX(F19,F20)</f>
        <v>0</v>
      </c>
      <c r="G21" s="62">
        <f>MAX(G19,G20)</f>
        <v>0</v>
      </c>
      <c r="H21" s="54">
        <f>SUM(C21:G21)</f>
        <v>41890886.211377084</v>
      </c>
    </row>
    <row r="22" spans="2:7" ht="15">
      <c r="B22" s="1"/>
      <c r="C22" s="6"/>
      <c r="D22" s="6"/>
      <c r="E22" s="6"/>
      <c r="F22" s="6"/>
      <c r="G22" s="6"/>
    </row>
    <row r="23" ht="18.75">
      <c r="A23" s="66" t="s">
        <v>37</v>
      </c>
    </row>
    <row r="24" spans="3:7" ht="15">
      <c r="C24" s="1" t="s">
        <v>0</v>
      </c>
      <c r="D24" s="1" t="s">
        <v>1</v>
      </c>
      <c r="E24" s="1" t="s">
        <v>2</v>
      </c>
      <c r="F24" s="1" t="s">
        <v>3</v>
      </c>
      <c r="G24" s="1" t="s">
        <v>4</v>
      </c>
    </row>
    <row r="25" spans="2:7" ht="15.75">
      <c r="B25" s="1" t="s">
        <v>24</v>
      </c>
      <c r="C25" s="55">
        <f>NSW_EL*NSW_P*NSW_PRAFL*NSW_VFPM*(GST+1)</f>
        <v>144636.67838141313</v>
      </c>
      <c r="D25" s="56">
        <f>QLD_EL*QLD_P*QLD_PRAFL*QLD_VFPM*(GST+1)</f>
        <v>1435139.399232</v>
      </c>
      <c r="E25" s="56">
        <f>SA_EL*SA_P*SA_PRAFL*SA_VFPM*(GST+1)</f>
        <v>0</v>
      </c>
      <c r="F25" s="56">
        <f>TAS_EL*TAS_P*TAS_PRAFL*TAS_VFPM*(GST+1)</f>
        <v>0</v>
      </c>
      <c r="G25" s="57">
        <f>VIC_EL*VIC_P*VIC_PRAFL*VIC_VFPM*(GST+1)</f>
        <v>0</v>
      </c>
    </row>
    <row r="26" spans="2:7" ht="15.75">
      <c r="B26" s="1" t="s">
        <v>25</v>
      </c>
      <c r="C26" s="61">
        <f>NSW_EG*NSW_P*NSW_PRAFG*NSW_VFPM*(GST+1)</f>
        <v>0</v>
      </c>
      <c r="D26" s="62">
        <f>QLD_EG*QLD_P*QLD_PRAFG*QLD_VFPM*(GST+1)</f>
        <v>0</v>
      </c>
      <c r="E26" s="62">
        <f>SA_EG*SA_P*SA_PRAFG*SA_VFPM*(GST+1)</f>
        <v>0</v>
      </c>
      <c r="F26" s="62">
        <f>TAS_EG*TAS_P*TAS_PRAFG*TAS_VFPM*(GST+1)</f>
        <v>0</v>
      </c>
      <c r="G26" s="63">
        <f>VIC_EG*VIC_P*VIC_PRAFG*VIC_VFPM*(GST+1)</f>
        <v>0</v>
      </c>
    </row>
    <row r="27" spans="1:7" ht="15">
      <c r="A27" s="1" t="s">
        <v>26</v>
      </c>
      <c r="B27" s="1"/>
      <c r="C27" s="6"/>
      <c r="D27" s="6"/>
      <c r="E27" s="6"/>
      <c r="F27" s="6"/>
      <c r="G27" s="6"/>
    </row>
    <row r="28" spans="1:7" ht="15">
      <c r="A28" t="s">
        <v>27</v>
      </c>
      <c r="B28" s="1"/>
      <c r="C28" s="6">
        <f>NSW_RD*NSW_P*NSW_PRAFR*NSW_VFPM</f>
        <v>0</v>
      </c>
      <c r="D28" s="6">
        <f>QLD_RD*QLD_P*QLD_PRAFR*QLD_VFPM</f>
        <v>0</v>
      </c>
      <c r="E28" s="6">
        <f>SA_RD*SA_P*SA_PRAFR*SA_VFPM</f>
        <v>0</v>
      </c>
      <c r="F28" s="6">
        <f>TAS_RD*TAS_P*TAS_PRAFR*TAS_VFPM</f>
        <v>0</v>
      </c>
      <c r="G28" s="6">
        <f>VIC_RD*VIC_P*VIC_PRAFR*VIC_VFPM</f>
        <v>0</v>
      </c>
    </row>
    <row r="29" spans="1:7" ht="15">
      <c r="A29" t="s">
        <v>28</v>
      </c>
      <c r="B29" s="1"/>
      <c r="C29" s="6">
        <f>NSW_RDS*(NSW_P*NSW_PRAFR*NSW_VFPM-NSW_PDS)</f>
        <v>0</v>
      </c>
      <c r="D29" s="6">
        <f>QLD_RDS*(QLD_P*QLD_PRAFR*QLD_VFPM-QLD_PDS)</f>
        <v>0</v>
      </c>
      <c r="E29" s="6">
        <f>SA_RDS*(SA_P*SA_PRAFR*SA_VFPM-SA_PDS)</f>
        <v>0</v>
      </c>
      <c r="F29" s="6">
        <f>TAS_RDS*(TAS_P*TAS_PRAFR*TAS_VFPM-TAS_PDS)</f>
        <v>0</v>
      </c>
      <c r="G29" s="6">
        <f>VIC_RDS*(VIC_P*VIC_PRAFR*VIC_VFPM-VIC_PDS)</f>
        <v>0</v>
      </c>
    </row>
    <row r="30" spans="1:7" ht="15">
      <c r="A30" t="s">
        <v>29</v>
      </c>
      <c r="B30" s="1"/>
      <c r="C30" s="6">
        <f>NSW_RDC*(NSW_P*NSW_PRAFR*NSW_VFPM-NSW_P*NSW_PRAFRC*NSW_VFPM)</f>
        <v>0</v>
      </c>
      <c r="D30" s="6">
        <f>QLD_RDC*(QLD_P*QLD_PRAFR*QLD_VFPM-QLD_P*QLD_PRAFRC*QLD_VFPM)</f>
        <v>0</v>
      </c>
      <c r="E30" s="6">
        <f>SA_RDC*(SA_P*SA_PRAFR*SA_VFPM-SA_P*SA_PRAFRC*SA_VFPM)</f>
        <v>0</v>
      </c>
      <c r="F30" s="6">
        <f>TAS_RDC*(TAS_P*TAS_PRAFR*TAS_VFPM-TAS_P*TAS_PRAFRC*TAS_VFPM)</f>
        <v>0</v>
      </c>
      <c r="G30" s="6">
        <f>VIC_RDC*(VIC_P*VIC_PRAFR*VIC_VFPM-VIC_P*VIC_PRAFRC*VIC_VFPM)</f>
        <v>0</v>
      </c>
    </row>
    <row r="31" spans="2:7" ht="15.75">
      <c r="B31" s="1" t="s">
        <v>30</v>
      </c>
      <c r="C31" s="52">
        <f>SUM(C28:C30)</f>
        <v>0</v>
      </c>
      <c r="D31" s="53">
        <f>SUM(D28:D30)</f>
        <v>0</v>
      </c>
      <c r="E31" s="53">
        <f>SUM(E28:E30)</f>
        <v>0</v>
      </c>
      <c r="F31" s="53">
        <f>SUM(F28:F30)</f>
        <v>0</v>
      </c>
      <c r="G31" s="54">
        <f>SUM(G28:G30)</f>
        <v>0</v>
      </c>
    </row>
    <row r="32" spans="1:7" ht="15">
      <c r="A32" s="1" t="s">
        <v>31</v>
      </c>
      <c r="B32" s="1"/>
      <c r="C32" s="6"/>
      <c r="D32" s="6"/>
      <c r="E32" s="6"/>
      <c r="F32" s="6"/>
      <c r="G32" s="6"/>
    </row>
    <row r="33" spans="1:7" ht="15">
      <c r="A33" t="s">
        <v>27</v>
      </c>
      <c r="B33" s="1"/>
      <c r="C33" s="6">
        <f>NSW_RC*NSW_P*NSW_PRAFR*NSW_VFPM</f>
        <v>0</v>
      </c>
      <c r="D33" s="6">
        <f>QLD_RC*QLD_P*QLD_PRAFR*QLD_VFPM</f>
        <v>0</v>
      </c>
      <c r="E33" s="6">
        <f>SA_RC*SA_P*SA_PRAFR*SA_VFPM</f>
        <v>0</v>
      </c>
      <c r="F33" s="6">
        <f>TAS_RC*TAS_P*TAS_PRAFR*TAS_VFPM</f>
        <v>0</v>
      </c>
      <c r="G33" s="6">
        <f>VIC_RC*VIC_P*VIC_PRAFR*VIC_VFPM</f>
        <v>0</v>
      </c>
    </row>
    <row r="34" spans="1:7" ht="15">
      <c r="A34" t="s">
        <v>28</v>
      </c>
      <c r="B34" s="1"/>
      <c r="C34" s="6">
        <f>NSW_RCS*(NSW_P*NSW_PRAFR*NSW_VFPM-NSW_PCS)</f>
        <v>0</v>
      </c>
      <c r="D34" s="6">
        <f>QLD_RCS*(QLD_P*QLD_PRAFR*QLD_VFPM-QLD_PCS)</f>
        <v>0</v>
      </c>
      <c r="E34" s="6">
        <f>SA_RCS*(SA_P*SA_PRAFR*SA_VFPM-SA_PCS)</f>
        <v>0</v>
      </c>
      <c r="F34" s="6">
        <f>TAS_RCS*(TAS_P*TAS_PRAFR*TAS_VFPM-TAS_PCS)</f>
        <v>0</v>
      </c>
      <c r="G34" s="6">
        <f>VIC_RCS*(VIC_P*VIC_PRAFR*VIC_VFPM-VIC_PCS)</f>
        <v>0</v>
      </c>
    </row>
    <row r="35" spans="1:7" ht="15">
      <c r="A35" t="s">
        <v>29</v>
      </c>
      <c r="B35" s="1"/>
      <c r="C35" s="6">
        <f>NSW_RCC*(NSW_P*NSW_PRAFR*NSW_VFPM-NSW_P*NSW_PRAFRC*NSW_VFPM)</f>
        <v>0</v>
      </c>
      <c r="D35" s="6">
        <f>QLD_RCC*(QLD_P*QLD_PRAFR*QLD_VFPM-QLD_P*QLD_PRAFRC*QLD_VFPM)</f>
        <v>0</v>
      </c>
      <c r="E35" s="6">
        <f>SA_RCC*(SA_P*SA_PRAFR*SA_VFPM-SA_P*SA_PRAFRC*SA_VFPM)</f>
        <v>0</v>
      </c>
      <c r="F35" s="6">
        <f>TAS_RCC*(TAS_P*TAS_PRAFR*TAS_VFPM-TAS_P*TAS_PRAFRC*TAS_VFPM)</f>
        <v>0</v>
      </c>
      <c r="G35" s="6">
        <f>VIC_RCC*(VIC_P*VIC_PRAFR*VIC_VFPM-VIC_P*VIC_PRAFRC*VIC_VFPM)</f>
        <v>0</v>
      </c>
    </row>
    <row r="36" spans="2:7" ht="15.75">
      <c r="B36" s="1" t="s">
        <v>32</v>
      </c>
      <c r="C36" s="52">
        <f>SUM(C33:C35)</f>
        <v>0</v>
      </c>
      <c r="D36" s="53">
        <f>SUM(D33:D35)</f>
        <v>0</v>
      </c>
      <c r="E36" s="53">
        <f>SUM(E33:E35)</f>
        <v>0</v>
      </c>
      <c r="F36" s="53">
        <f>SUM(F33:F35)</f>
        <v>0</v>
      </c>
      <c r="G36" s="54">
        <f>SUM(G33:G35)</f>
        <v>0</v>
      </c>
    </row>
    <row r="37" spans="1:8" ht="15.75">
      <c r="A37" t="s">
        <v>41</v>
      </c>
      <c r="C37" s="6">
        <f>C25-C26</f>
        <v>144636.67838141313</v>
      </c>
      <c r="D37" s="6">
        <f>D25-D26</f>
        <v>1435139.399232</v>
      </c>
      <c r="E37" s="6">
        <f>E25-E26</f>
        <v>0</v>
      </c>
      <c r="F37" s="6">
        <f>F25-F26</f>
        <v>0</v>
      </c>
      <c r="G37" s="6">
        <f>G25-G26</f>
        <v>0</v>
      </c>
      <c r="H37" s="64">
        <f>MAX(0,SUM(C37:G37))*TRP</f>
        <v>11058432.543293893</v>
      </c>
    </row>
    <row r="38" spans="1:8" ht="15.75">
      <c r="A38" t="s">
        <v>42</v>
      </c>
      <c r="C38" s="6">
        <f>C31-C36+C16-C17</f>
        <v>0</v>
      </c>
      <c r="D38" s="6">
        <f>D31-D36+D16-D17</f>
        <v>0</v>
      </c>
      <c r="E38" s="6">
        <f>E31-E36+E16-E17</f>
        <v>0</v>
      </c>
      <c r="F38" s="6">
        <f>F31-F36+F16-F17</f>
        <v>0</v>
      </c>
      <c r="G38" s="6">
        <f>G31-G36+G16-G17</f>
        <v>0</v>
      </c>
      <c r="H38" s="65">
        <f>MAX(0,SUM(C38:G38))*TRP</f>
        <v>0</v>
      </c>
    </row>
    <row r="40" spans="2:8" ht="21">
      <c r="B40" s="68" t="s">
        <v>35</v>
      </c>
      <c r="C40" s="6"/>
      <c r="D40" s="6"/>
      <c r="E40" s="6"/>
      <c r="F40" s="6"/>
      <c r="H40" s="69">
        <f>H37+H38</f>
        <v>11058432.543293893</v>
      </c>
    </row>
    <row r="41" ht="21">
      <c r="B41" s="68"/>
    </row>
    <row r="42" spans="2:8" ht="21">
      <c r="B42" s="68" t="s">
        <v>36</v>
      </c>
      <c r="C42" s="6"/>
      <c r="D42" s="6"/>
      <c r="E42" s="6"/>
      <c r="F42" s="6"/>
      <c r="H42" s="69">
        <f>MAX(0,H40+H21)</f>
        <v>52949318.75467098</v>
      </c>
    </row>
  </sheetData>
  <sheetProtection/>
  <mergeCells count="1">
    <mergeCell ref="A16:A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zoomScale="80" zoomScaleNormal="80" zoomScalePageLayoutView="0" workbookViewId="0" topLeftCell="A1">
      <selection activeCell="F13" sqref="F13"/>
    </sheetView>
  </sheetViews>
  <sheetFormatPr defaultColWidth="9.140625" defaultRowHeight="15"/>
  <cols>
    <col min="1" max="1" width="34.28125" style="0" customWidth="1"/>
  </cols>
  <sheetData>
    <row r="1" spans="1:2" ht="21">
      <c r="A1" s="67" t="s">
        <v>79</v>
      </c>
      <c r="B1">
        <v>35</v>
      </c>
    </row>
    <row r="2" spans="1:2" ht="21">
      <c r="A2" s="67" t="s">
        <v>80</v>
      </c>
      <c r="B2">
        <v>7</v>
      </c>
    </row>
    <row r="3" spans="1:2" ht="18">
      <c r="A3" s="67" t="s">
        <v>23</v>
      </c>
      <c r="B3" s="5">
        <v>0.1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Taylor 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Sims</dc:creator>
  <cp:keywords/>
  <dc:description/>
  <cp:lastModifiedBy>Ruth Guest</cp:lastModifiedBy>
  <dcterms:created xsi:type="dcterms:W3CDTF">2012-05-09T03:49:59Z</dcterms:created>
  <dcterms:modified xsi:type="dcterms:W3CDTF">2012-06-18T05:30:25Z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0x0101009BE89D58CAF0934CA32A20BCFFD353DC004E6CBA2B726B5B478DD1DFD884CC5D1D</vt:lpwstr>
  </property>
  <property fmtid="{D5CDD505-2E9C-101B-9397-08002B2CF9AE}" pid="3" name="AEMOKeywords">
    <vt:lpwstr/>
  </property>
  <property fmtid="{D5CDD505-2E9C-101B-9397-08002B2CF9AE}" pid="4" name="_dlc_DocIdItemGuid">
    <vt:lpwstr>d85f5ac6-67bd-4aef-8cae-800a36a92e54</vt:lpwstr>
  </property>
  <property fmtid="{D5CDD505-2E9C-101B-9397-08002B2CF9AE}" pid="5" name="AEMOCustodian">
    <vt:lpwstr/>
  </property>
  <property fmtid="{D5CDD505-2E9C-101B-9397-08002B2CF9AE}" pid="6" name="ArchiveDocument">
    <vt:lpwstr>0</vt:lpwstr>
  </property>
  <property fmtid="{D5CDD505-2E9C-101B-9397-08002B2CF9AE}" pid="7" name="AEMODocumentTypeTaxHTField0">
    <vt:lpwstr/>
  </property>
  <property fmtid="{D5CDD505-2E9C-101B-9397-08002B2CF9AE}" pid="8" name="AEMOKeywordsTaxHTField0">
    <vt:lpwstr/>
  </property>
  <property fmtid="{D5CDD505-2E9C-101B-9397-08002B2CF9AE}" pid="9" name="TaxCatchAll">
    <vt:lpwstr/>
  </property>
  <property fmtid="{D5CDD505-2E9C-101B-9397-08002B2CF9AE}" pid="10" name="AEMODescription">
    <vt:lpwstr/>
  </property>
  <property fmtid="{D5CDD505-2E9C-101B-9397-08002B2CF9AE}" pid="11" name="_dlc_DocId">
    <vt:lpwstr>METERNSETTLE-76-10682</vt:lpwstr>
  </property>
  <property fmtid="{D5CDD505-2E9C-101B-9397-08002B2CF9AE}" pid="12" name="_dlc_DocIdUrl">
    <vt:lpwstr>http://sharedocs/sites/mns/NEMSettlements/_layouts/DocIdRedir.aspx?ID=METERNSETTLE-76-10682, METERNSETTLE-76-10682</vt:lpwstr>
  </property>
</Properties>
</file>