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0080" windowHeight="429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<sst xmlns="http://schemas.openxmlformats.org/spreadsheetml/2006/main" count="333" uniqueCount="89">
  <si>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</si>
  <si>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</si>
  <si>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</si>
  <si>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</si>
  <si>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</si>
  <si>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</si>
  <si>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</si>
  <si>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</si>
  <si>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</si>
  <si>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</si>
  <si>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</si>
  <si>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</si>
  <si>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</si>
  <si>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</si>
  <si>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</si>
  <si>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</si>
  <si>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</si>
  <si>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</si>
  <si>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</si>
  <si>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</si>
  <si>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</si>
  <si>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</si>
  <si>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</si>
  <si>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</si>
  <si>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</si>
  <si>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</si>
  <si>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</si>
  <si>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</si>
  <si>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</si>
  <si>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</si>
  <si>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</si>
  <si>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</si>
  <si>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</si>
  <si>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</si>
  <si>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</si>
  <si>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</si>
  <si>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</si>
  <si>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</si>
  <si>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</si>
  <si>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</si>
  <si>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</si>
  <si>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Net load</t>
  </si>
  <si>
    <t>Net reallocations</t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</si>
  <si>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</si>
  <si>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</si>
  <si>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</si>
  <si>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</si>
  <si>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</si>
  <si>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</si>
  <si>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</si>
  <si>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</si>
  <si>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</si>
  <si>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</si>
  <si>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</si>
  <si>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</si>
  <si>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</si>
  <si>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</si>
  <si>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</si>
  <si>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</si>
  <si>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</si>
  <si>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</si>
  <si>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</si>
  <si>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</si>
  <si>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</si>
  <si>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</si>
  <si>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</si>
  <si>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</si>
  <si>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</si>
  <si>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</si>
  <si>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</si>
  <si>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</si>
  <si>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</si>
  <si>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</si>
  <si>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</si>
  <si>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</si>
  <si>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</si>
  <si>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</si>
  <si>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</si>
  <si>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</si>
  <si>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</si>
  <si>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</si>
  <si>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</si>
  <si>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</si>
  <si>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</si>
  <si>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</si>
  <si>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</si>
  <si>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</si>
  <si>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above data is to be used in determining prudential settings for winter 2011.</t>
  </si>
  <si>
    <t>The calculator illustrates the impact of a $100 Cap reallocation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</si>
</sst>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8.45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3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4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4" fillId="0" borderId="0" xfId="0" applyFont="1" applyAlignment="1">
      <alignment/>
    </xf>
    <xf numFmtId="2" fontId="52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4" fillId="34" borderId="10" xfId="0" applyNumberFormat="1" applyFont="1" applyFill="1" applyBorder="1" applyAlignment="1">
      <alignment/>
    </xf>
    <xf numFmtId="3" fontId="54" fillId="34" borderId="11" xfId="0" applyNumberFormat="1" applyFont="1" applyFill="1" applyBorder="1" applyAlignment="1">
      <alignment/>
    </xf>
    <xf numFmtId="3" fontId="54" fillId="34" borderId="12" xfId="0" applyNumberFormat="1" applyFont="1" applyFill="1" applyBorder="1" applyAlignment="1">
      <alignment/>
    </xf>
    <xf numFmtId="3" fontId="54" fillId="34" borderId="17" xfId="0" applyNumberFormat="1" applyFont="1" applyFill="1" applyBorder="1" applyAlignment="1">
      <alignment/>
    </xf>
    <xf numFmtId="3" fontId="54" fillId="34" borderId="18" xfId="0" applyNumberFormat="1" applyFont="1" applyFill="1" applyBorder="1" applyAlignment="1">
      <alignment/>
    </xf>
    <xf numFmtId="3" fontId="54" fillId="34" borderId="19" xfId="0" applyNumberFormat="1" applyFont="1" applyFill="1" applyBorder="1" applyAlignment="1">
      <alignment/>
    </xf>
    <xf numFmtId="3" fontId="54" fillId="34" borderId="20" xfId="0" applyNumberFormat="1" applyFon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3" fontId="54" fillId="34" borderId="21" xfId="0" applyNumberFormat="1" applyFont="1" applyFill="1" applyBorder="1" applyAlignment="1">
      <alignment/>
    </xf>
    <xf numFmtId="3" fontId="54" fillId="34" borderId="22" xfId="0" applyNumberFormat="1" applyFont="1" applyFill="1" applyBorder="1" applyAlignment="1">
      <alignment/>
    </xf>
    <xf numFmtId="3" fontId="54" fillId="34" borderId="23" xfId="0" applyNumberFormat="1" applyFont="1" applyFill="1" applyBorder="1" applyAlignment="1">
      <alignment/>
    </xf>
    <xf numFmtId="3" fontId="54" fillId="34" borderId="24" xfId="0" applyNumberFormat="1" applyFont="1" applyFill="1" applyBorder="1" applyAlignment="1">
      <alignment/>
    </xf>
    <xf numFmtId="3" fontId="54" fillId="34" borderId="15" xfId="0" applyNumberFormat="1" applyFont="1" applyFill="1" applyBorder="1" applyAlignment="1">
      <alignment/>
    </xf>
    <xf numFmtId="3" fontId="54" fillId="34" borderId="16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3" fontId="54" fillId="34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2" fontId="54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4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8" fillId="0" borderId="0" xfId="0" applyFont="1" applyAlignment="1">
      <alignment vertical="center"/>
    </xf>
    <xf numFmtId="4" fontId="59" fillId="13" borderId="10" xfId="0" applyNumberFormat="1" applyFont="1" applyFill="1" applyBorder="1" applyAlignment="1">
      <alignment/>
    </xf>
    <xf numFmtId="4" fontId="59" fillId="13" borderId="11" xfId="0" applyNumberFormat="1" applyFont="1" applyFill="1" applyBorder="1" applyAlignment="1">
      <alignment/>
    </xf>
    <xf numFmtId="4" fontId="59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0" fillId="35" borderId="17" xfId="0" applyNumberFormat="1" applyFont="1" applyFill="1" applyBorder="1" applyAlignment="1">
      <alignment vertical="center" wrapText="1"/>
    </xf>
    <xf numFmtId="164" fontId="60" fillId="35" borderId="18" xfId="0" applyNumberFormat="1" applyFont="1" applyFill="1" applyBorder="1" applyAlignment="1">
      <alignment vertical="center" wrapText="1"/>
    </xf>
    <xf numFmtId="164" fontId="60" fillId="35" borderId="19" xfId="0" applyNumberFormat="1" applyFont="1" applyFill="1" applyBorder="1" applyAlignment="1">
      <alignment vertical="center" wrapText="1"/>
    </xf>
    <xf numFmtId="164" fontId="60" fillId="35" borderId="22" xfId="0" applyNumberFormat="1" applyFont="1" applyFill="1" applyBorder="1" applyAlignment="1">
      <alignment vertical="center" wrapText="1"/>
    </xf>
    <xf numFmtId="164" fontId="60" fillId="35" borderId="23" xfId="0" applyNumberFormat="1" applyFont="1" applyFill="1" applyBorder="1" applyAlignment="1">
      <alignment vertical="center" wrapText="1"/>
    </xf>
    <xf numFmtId="164" fontId="60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8" fillId="0" borderId="2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15439241"/>
        <c:axId val="4735442"/>
      </c:scatterChart>
      <c:val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442"/>
        <c:crosses val="autoZero"/>
        <c:crossBetween val="midCat"/>
        <c:dispUnits/>
      </c:valAx>
      <c:valAx>
        <c:axId val="47354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392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42618979"/>
        <c:axId val="48026492"/>
      </c:scatterChart>
      <c:val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6492"/>
        <c:crosses val="autoZero"/>
        <c:crossBetween val="midCat"/>
        <c:dispUnits/>
      </c:valAx>
      <c:valAx>
        <c:axId val="4802649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89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14550"/>
        <a:ext cx="721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J63" sqref="J63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9">
        <f>SUM(D54:E54)-SUM(I54:J54)</f>
        <v>0</v>
      </c>
      <c r="M54" s="80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IF(SUM(B8:B55)=0,NSW_RLWP,SUMPRODUCT(B8:B55,OFFSET(NSW_PHH,0,0,48,1))/SUM(C8:C55))</f>
        <v>42.468749093925226</v>
      </c>
      <c r="C56" s="3"/>
      <c r="F56" s="3"/>
      <c r="G56" s="18">
        <f ca="1">IF(SUM(G8:G55)=0,NSW_RLWP,SUMPRODUCT(G8:G55,OFFSET(NSW_PHH,0,0,48,1))/SUM(H8:H55))</f>
        <v>41.8576868778643</v>
      </c>
      <c r="H56" s="3"/>
      <c r="L56" s="18">
        <f ca="1">IF(SUM(L8:L55)=0,NSW_RLWP,SUMPRODUCT(L8:L55,OFFSET(NSW_PHH,0,0,48,1))/SUM(L8:L55))</f>
        <v>41.8576868778643</v>
      </c>
      <c r="M56" s="18">
        <f ca="1">IF(SUM(M8:M55)=0,NSW_RLWPC,SUMPRODUCT(M8:M55,OFFSET(NSW_PHHC,0,0,48,1))/SUM(M8:M55))</f>
        <v>32.74724097696969</v>
      </c>
      <c r="N56" s="16" t="s">
        <v>68</v>
      </c>
    </row>
    <row r="57" spans="1:14" ht="15.75">
      <c r="A57" s="16" t="s">
        <v>67</v>
      </c>
      <c r="B57" s="18">
        <f>B56/NSW_RLWP</f>
        <v>1.0145985662763433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0.7823471247353492</v>
      </c>
      <c r="N57" s="16" t="s">
        <v>69</v>
      </c>
    </row>
    <row r="58" spans="1:14" ht="15.75">
      <c r="A58" s="16" t="s">
        <v>43</v>
      </c>
      <c r="B58" s="18">
        <f>MAX(B57,B57^2)</f>
        <v>1.0294102506900114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0.7823471247353492</v>
      </c>
      <c r="N58" s="16" t="s">
        <v>43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s="1" t="s">
        <v>1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IF(SUM(B8:B55)=0,QLD_RLWP,SUMPRODUCT(B8:B55,OFFSET(QLD_PHH,0,0,48,1))/SUM(C8:C55))</f>
        <v>37.80352873646793</v>
      </c>
      <c r="C56" s="3"/>
      <c r="F56" s="3"/>
      <c r="G56" s="18">
        <f ca="1">IF(SUM(G8:G55)=0,QLD_RLWP,SUMPRODUCT(G8:G55,OFFSET(QLD_PHH,0,0,48,1))/SUM(H8:H55))</f>
        <v>37.80352873646793</v>
      </c>
      <c r="H56" s="3"/>
      <c r="L56" s="18">
        <f ca="1">IF(SUM(L8:L55)=0,QLD_RLWP,SUMPRODUCT(L8:L55,OFFSET(QLD_PHH,0,0,48,1))/SUM(L8:L55))</f>
        <v>37.80352873646793</v>
      </c>
      <c r="M56" s="18">
        <f ca="1">IF(SUM(M8:M55)=0,QLD_RLWPC,SUMPRODUCT(M8:M55,OFFSET(QLD_PHHC,0,0,48,1))/SUM(M8:M55))</f>
        <v>29.354780448088224</v>
      </c>
      <c r="N56" s="16" t="s">
        <v>68</v>
      </c>
    </row>
    <row r="57" spans="1:14" ht="15.75">
      <c r="A57" s="16" t="s">
        <v>67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0.7765090040330163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0.7765090040330163</v>
      </c>
      <c r="N58" s="16" t="s">
        <v>43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70" sqref="D7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140625" style="0" customWidth="1"/>
    <col min="5" max="5" width="15.7109375" style="0" customWidth="1"/>
    <col min="6" max="6" width="14.7109375" style="0" customWidth="1"/>
    <col min="7" max="7" width="12.8515625" style="0" customWidth="1"/>
    <col min="8" max="8" width="10.7109375" style="0" customWidth="1"/>
    <col min="9" max="9" width="14.7109375" style="0" customWidth="1"/>
    <col min="10" max="10" width="14.8515625" style="0" customWidth="1"/>
    <col min="11" max="11" width="15.140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s="1" t="s">
        <v>2</v>
      </c>
      <c r="L2" s="96" t="s">
        <v>46</v>
      </c>
      <c r="M2" s="96" t="s">
        <v>47</v>
      </c>
    </row>
    <row r="3" spans="2:13" s="2" customFormat="1" ht="36.7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IF(SUM(B8:B55)=0,SA_RLWP,SUMPRODUCT(B8:B55,OFFSET(SA_PHH,0,0,48,1))/SUM(C8:C55))</f>
        <v>41.01364806106823</v>
      </c>
      <c r="C56" s="18"/>
      <c r="D56" s="16"/>
      <c r="E56" s="16"/>
      <c r="F56" s="18"/>
      <c r="G56" s="18">
        <f ca="1">IF(SUM(G8:G55)=0,SA_RLWP,SUMPRODUCT(G8:G55,OFFSET(SA_PHH,0,0,48,1))/SUM(H8:H55))</f>
        <v>41.01364806106823</v>
      </c>
      <c r="H56" s="3"/>
      <c r="L56" s="17">
        <f ca="1">IF(SUM(L8:L55)=0,SA_RLWP,SUMPRODUCT(L8:L55,OFFSET(SA_PHH,0,0,48,1))/SUM(L8:L55))</f>
        <v>41.01364806106823</v>
      </c>
      <c r="M56" s="17">
        <f ca="1">IF(SUM(M8:M55)=0,SA_RLWPC,SUMPRODUCT(M8:M55,OFFSET(SA_PHHC,0,0,48,1))/SUM(M8:M55))</f>
        <v>37.319925017545124</v>
      </c>
      <c r="N56" s="16" t="s">
        <v>68</v>
      </c>
    </row>
    <row r="57" spans="1:14" ht="15.75">
      <c r="A57" s="16" t="s">
        <v>67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0.9099391734667628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0.9099391734667628</v>
      </c>
      <c r="N58" s="16" t="s">
        <v>43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3" sqref="F73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7">
        <f ca="1">IF(SUM(B8:B55)=0,TAS_RLWP,SUMPRODUCT(B8:B55,OFFSET(TAS_PHH,0,0,48,1))/SUM(C8:C55))</f>
        <v>62.90140785873658</v>
      </c>
      <c r="C56" s="3"/>
      <c r="F56" s="3"/>
      <c r="G56" s="17">
        <f ca="1">IF(SUM(G8:G55)=0,TAS_RLWP,SUMPRODUCT(G8:G55,OFFSET(TAS_PHH,0,0,48,1))/SUM(H8:H55))</f>
        <v>62.90140785873658</v>
      </c>
      <c r="H56" s="3"/>
      <c r="L56" s="17">
        <f ca="1">IF(SUM(L8:L55)=0,TAS_RLWP,SUMPRODUCT(L8:L55,OFFSET(TAS_PHH,0,0,48,1))/SUM(L8:L55))</f>
        <v>62.90140785873658</v>
      </c>
      <c r="M56" s="17">
        <f ca="1">IF(SUM(M8:M55)=0,TAS_RLWPC,SUMPRODUCT(M8:M55,OFFSET(TAS_PHHC,0,0,48,1))/SUM(M8:M55))</f>
        <v>48.16926306905882</v>
      </c>
      <c r="N56" s="16" t="s">
        <v>68</v>
      </c>
    </row>
    <row r="57" spans="1:14" ht="15.75">
      <c r="A57" s="16" t="s">
        <v>67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0.765789903736923</v>
      </c>
      <c r="N57" s="16" t="s">
        <v>69</v>
      </c>
    </row>
    <row r="58" spans="1:14" ht="15.75">
      <c r="A58" s="16" t="s">
        <v>43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0.765789903736923</v>
      </c>
      <c r="N58" s="16" t="s">
        <v>43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0" sqref="D6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IF(SUM(B8:B55)=0,VIC_RLWP,SUMPRODUCT(B8:B55,OFFSET(VIC_PHH,0,0,48,1))/SUM(C8:C55))</f>
        <v>38.54766915572623</v>
      </c>
      <c r="C56" s="18"/>
      <c r="D56" s="16"/>
      <c r="E56" s="16"/>
      <c r="F56" s="18"/>
      <c r="G56" s="18">
        <f ca="1">IF(SUM(G8:G55)=0,VIC_RLWP,SUMPRODUCT(G8:G55,OFFSET(VIC_PHH,0,0,48,1))/SUM(H8:H55))</f>
        <v>38.54766915572623</v>
      </c>
      <c r="H56" s="3"/>
      <c r="L56" s="18">
        <f ca="1">IF(SUM(L8:L55)=0,VIC_RLWP,SUMPRODUCT(L8:L55,OFFSET(VIC_PHH,0,0,48,1))/SUM(L8:L55))</f>
        <v>38.54766915572623</v>
      </c>
      <c r="M56" s="18">
        <f ca="1">IF(SUM(M8:M55)=0,VIC_RLWPC,SUMPRODUCT(M8:M55,OFFSET(VIC_PHHC,0,0,48,1))/SUM(M8:M55))</f>
        <v>33.45881630796362</v>
      </c>
      <c r="N56" s="16" t="s">
        <v>68</v>
      </c>
    </row>
    <row r="57" spans="1:14" ht="15.75">
      <c r="A57" s="16" t="s">
        <v>67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0.8679854590635693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0.8679854590635693</v>
      </c>
      <c r="N58" s="16" t="s">
        <v>43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zoomScale="80" zoomScaleNormal="80" zoomScalePageLayoutView="0" workbookViewId="0" topLeftCell="A10">
      <selection activeCell="J67" sqref="J6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11" max="11" width="10.57421875" style="0" customWidth="1"/>
  </cols>
  <sheetData>
    <row r="1" ht="15.75">
      <c r="A1" s="16" t="s">
        <v>15</v>
      </c>
    </row>
    <row r="2" spans="1:13" ht="30" customHeight="1">
      <c r="A2" s="16"/>
      <c r="B2" s="99" t="s">
        <v>22</v>
      </c>
      <c r="C2" s="99"/>
      <c r="G2" s="2" t="s">
        <v>16</v>
      </c>
      <c r="L2" s="99" t="s">
        <v>21</v>
      </c>
      <c r="M2" s="99"/>
    </row>
    <row r="3" spans="1:7" s="2" customFormat="1" ht="18.75">
      <c r="A3" s="12"/>
      <c r="B3" s="12" t="s">
        <v>83</v>
      </c>
      <c r="G3" s="12" t="s">
        <v>74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206066.9</v>
      </c>
      <c r="C5" s="39">
        <v>128201.3</v>
      </c>
      <c r="D5" s="39">
        <v>38119.61</v>
      </c>
      <c r="E5" s="39">
        <v>31369.47</v>
      </c>
      <c r="F5" s="39">
        <v>130162.3</v>
      </c>
      <c r="G5" s="84">
        <v>37.81</v>
      </c>
      <c r="H5" s="85">
        <v>34.9</v>
      </c>
      <c r="I5" s="85">
        <v>38.92</v>
      </c>
      <c r="J5" s="85">
        <v>63.83</v>
      </c>
      <c r="K5" s="86">
        <v>35.97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3" t="s">
        <v>86</v>
      </c>
      <c r="H6" s="73"/>
      <c r="I6" s="73"/>
      <c r="J6" s="73"/>
      <c r="K6" s="73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3"/>
      <c r="H7" s="73"/>
      <c r="I7" s="73"/>
      <c r="J7" s="73"/>
      <c r="K7" s="73"/>
      <c r="L7" s="46"/>
      <c r="M7" s="46"/>
      <c r="N7" s="46"/>
      <c r="O7" s="46"/>
      <c r="P7" s="46"/>
    </row>
    <row r="8" spans="1:16" ht="18.75">
      <c r="A8" s="16"/>
      <c r="B8" s="12" t="s">
        <v>82</v>
      </c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84</v>
      </c>
      <c r="H8" s="12" t="s">
        <v>84</v>
      </c>
      <c r="I8" s="12" t="s">
        <v>84</v>
      </c>
      <c r="J8" s="12" t="s">
        <v>84</v>
      </c>
      <c r="K8" s="12" t="s">
        <v>84</v>
      </c>
      <c r="L8" s="12" t="s">
        <v>85</v>
      </c>
      <c r="M8" s="12" t="s">
        <v>85</v>
      </c>
      <c r="N8" s="12" t="s">
        <v>85</v>
      </c>
      <c r="O8" s="12" t="s">
        <v>85</v>
      </c>
      <c r="P8" s="12" t="s">
        <v>85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4056.2714403698374</v>
      </c>
      <c r="C10" s="41">
        <v>2399.019506468642</v>
      </c>
      <c r="D10" s="41">
        <v>833.0209676534281</v>
      </c>
      <c r="E10" s="41">
        <v>572.6188404517693</v>
      </c>
      <c r="F10" s="41">
        <v>2409.164476414664</v>
      </c>
      <c r="G10" s="87">
        <v>29.5080369907142</v>
      </c>
      <c r="H10" s="42">
        <v>25.32718905493606</v>
      </c>
      <c r="I10" s="42">
        <v>39.94280516128245</v>
      </c>
      <c r="J10" s="42">
        <v>52.325356805229696</v>
      </c>
      <c r="K10" s="43">
        <v>30.572767427528056</v>
      </c>
      <c r="L10" s="42">
        <v>28.940787011029823</v>
      </c>
      <c r="M10" s="42">
        <v>24.420595015226578</v>
      </c>
      <c r="N10" s="42">
        <v>36.36848482627551</v>
      </c>
      <c r="O10" s="42">
        <v>45.43890925217781</v>
      </c>
      <c r="P10" s="43">
        <v>29.48021645689772</v>
      </c>
    </row>
    <row r="11" spans="1:16" ht="15">
      <c r="A11">
        <v>2</v>
      </c>
      <c r="B11" s="44">
        <v>3964.555173439113</v>
      </c>
      <c r="C11" s="45">
        <v>2322.0046657517605</v>
      </c>
      <c r="D11" s="45">
        <v>806.8514119496284</v>
      </c>
      <c r="E11" s="45">
        <v>563.2458965300737</v>
      </c>
      <c r="F11" s="45">
        <v>2328.9760503032594</v>
      </c>
      <c r="G11" s="88">
        <v>27.078248045144296</v>
      </c>
      <c r="H11" s="46">
        <v>23.271981566081315</v>
      </c>
      <c r="I11" s="46">
        <v>36.12800920088213</v>
      </c>
      <c r="J11" s="46">
        <v>47.923320114246856</v>
      </c>
      <c r="K11" s="47">
        <v>27.060940702979856</v>
      </c>
      <c r="L11" s="46">
        <v>26.775634978904666</v>
      </c>
      <c r="M11" s="46">
        <v>22.627695304909647</v>
      </c>
      <c r="N11" s="46">
        <v>34.603168112405285</v>
      </c>
      <c r="O11" s="46">
        <v>42.944425474926796</v>
      </c>
      <c r="P11" s="47">
        <v>26.41978029880579</v>
      </c>
    </row>
    <row r="12" spans="1:16" ht="15" hidden="1" outlineLevel="1">
      <c r="A12">
        <v>3</v>
      </c>
      <c r="B12" s="44">
        <v>3861.2055525776964</v>
      </c>
      <c r="C12" s="45">
        <v>2238.798485544205</v>
      </c>
      <c r="D12" s="45">
        <v>752.6729544181849</v>
      </c>
      <c r="E12" s="45">
        <v>557.2409216816031</v>
      </c>
      <c r="F12" s="45">
        <v>2456.5749552748093</v>
      </c>
      <c r="G12" s="88">
        <v>29.132303592554248</v>
      </c>
      <c r="H12" s="46">
        <v>23.331910544990446</v>
      </c>
      <c r="I12" s="46">
        <v>37.90538242686629</v>
      </c>
      <c r="J12" s="46">
        <v>50.4546042589814</v>
      </c>
      <c r="K12" s="47">
        <v>32.28461100305316</v>
      </c>
      <c r="L12" s="46">
        <v>28.769254288879846</v>
      </c>
      <c r="M12" s="46">
        <v>22.455006284116234</v>
      </c>
      <c r="N12" s="46">
        <v>35.364071619546934</v>
      </c>
      <c r="O12" s="46">
        <v>45.48580401088289</v>
      </c>
      <c r="P12" s="47">
        <v>31.044780306693657</v>
      </c>
    </row>
    <row r="13" spans="1:16" ht="15" hidden="1" outlineLevel="1">
      <c r="A13">
        <v>4</v>
      </c>
      <c r="B13" s="44">
        <v>3742.947689606924</v>
      </c>
      <c r="C13" s="45">
        <v>2167.757135578069</v>
      </c>
      <c r="D13" s="45">
        <v>700.0098512453234</v>
      </c>
      <c r="E13" s="45">
        <v>553.2879936117872</v>
      </c>
      <c r="F13" s="45">
        <v>2392.501355088976</v>
      </c>
      <c r="G13" s="88">
        <v>25.96949709416738</v>
      </c>
      <c r="H13" s="46">
        <v>20.889046772960416</v>
      </c>
      <c r="I13" s="46">
        <v>31.515317520990877</v>
      </c>
      <c r="J13" s="46">
        <v>45.87624222159489</v>
      </c>
      <c r="K13" s="47">
        <v>26.966645822951655</v>
      </c>
      <c r="L13" s="46">
        <v>25.960186204961907</v>
      </c>
      <c r="M13" s="46">
        <v>20.462381652300905</v>
      </c>
      <c r="N13" s="46">
        <v>30.530475811671444</v>
      </c>
      <c r="O13" s="46">
        <v>42.80511336090787</v>
      </c>
      <c r="P13" s="47">
        <v>26.680756432322305</v>
      </c>
    </row>
    <row r="14" spans="1:16" ht="15" hidden="1" outlineLevel="1">
      <c r="A14">
        <v>5</v>
      </c>
      <c r="B14" s="44">
        <v>3571.565628917676</v>
      </c>
      <c r="C14" s="45">
        <v>2118.9068178178504</v>
      </c>
      <c r="D14" s="45">
        <v>656.4889728010742</v>
      </c>
      <c r="E14" s="45">
        <v>551.5339862472703</v>
      </c>
      <c r="F14" s="45">
        <v>2298.2879352088503</v>
      </c>
      <c r="G14" s="88">
        <v>23.565120681477836</v>
      </c>
      <c r="H14" s="46">
        <v>19.760233193923924</v>
      </c>
      <c r="I14" s="46">
        <v>27.30006649613517</v>
      </c>
      <c r="J14" s="46">
        <v>44.25803919657567</v>
      </c>
      <c r="K14" s="47">
        <v>23.478155092061286</v>
      </c>
      <c r="L14" s="46">
        <v>23.505648137312733</v>
      </c>
      <c r="M14" s="46">
        <v>19.28120353553184</v>
      </c>
      <c r="N14" s="46">
        <v>26.6287702711127</v>
      </c>
      <c r="O14" s="46">
        <v>39.911836515120775</v>
      </c>
      <c r="P14" s="47">
        <v>23.37487360963594</v>
      </c>
    </row>
    <row r="15" spans="1:16" ht="15" hidden="1" outlineLevel="1">
      <c r="A15">
        <v>6</v>
      </c>
      <c r="B15" s="44">
        <v>3422.7436767071185</v>
      </c>
      <c r="C15" s="45">
        <v>2089.1229095535646</v>
      </c>
      <c r="D15" s="45">
        <v>625.4772635772407</v>
      </c>
      <c r="E15" s="45">
        <v>550.5619653314304</v>
      </c>
      <c r="F15" s="45">
        <v>2217.039124317863</v>
      </c>
      <c r="G15" s="88">
        <v>21.555487283045444</v>
      </c>
      <c r="H15" s="46">
        <v>18.69446366186859</v>
      </c>
      <c r="I15" s="46">
        <v>23.875012433560826</v>
      </c>
      <c r="J15" s="46">
        <v>45.04404226163237</v>
      </c>
      <c r="K15" s="47">
        <v>20.84067270361894</v>
      </c>
      <c r="L15" s="46">
        <v>21.5483247714774</v>
      </c>
      <c r="M15" s="46">
        <v>18.459842149819305</v>
      </c>
      <c r="N15" s="46">
        <v>23.36318074457077</v>
      </c>
      <c r="O15" s="46">
        <v>37.42439654071991</v>
      </c>
      <c r="P15" s="47">
        <v>20.768062263612926</v>
      </c>
    </row>
    <row r="16" spans="1:16" ht="15" hidden="1" outlineLevel="1">
      <c r="A16">
        <v>7</v>
      </c>
      <c r="B16" s="44">
        <v>3310.9212482397834</v>
      </c>
      <c r="C16" s="45">
        <v>2074.614867606666</v>
      </c>
      <c r="D16" s="45">
        <v>602.6327588514948</v>
      </c>
      <c r="E16" s="45">
        <v>551.0893783253628</v>
      </c>
      <c r="F16" s="45">
        <v>2154.853804546894</v>
      </c>
      <c r="G16" s="88">
        <v>19.640717117545524</v>
      </c>
      <c r="H16" s="46">
        <v>17.164652494169665</v>
      </c>
      <c r="I16" s="46">
        <v>20.54040553420732</v>
      </c>
      <c r="J16" s="46">
        <v>41.7931347682683</v>
      </c>
      <c r="K16" s="47">
        <v>18.510972430474933</v>
      </c>
      <c r="L16" s="46">
        <v>19.635614140325465</v>
      </c>
      <c r="M16" s="46">
        <v>17.157711302546204</v>
      </c>
      <c r="N16" s="46">
        <v>20.210704730522803</v>
      </c>
      <c r="O16" s="46">
        <v>35.39053607658815</v>
      </c>
      <c r="P16" s="47">
        <v>18.49639875058084</v>
      </c>
    </row>
    <row r="17" spans="1:16" ht="15" hidden="1" outlineLevel="1">
      <c r="A17">
        <v>8</v>
      </c>
      <c r="B17" s="44">
        <v>3249.5900199636653</v>
      </c>
      <c r="C17" s="45">
        <v>2070.6038582136102</v>
      </c>
      <c r="D17" s="45">
        <v>587.9453151716493</v>
      </c>
      <c r="E17" s="45">
        <v>551.7921032389927</v>
      </c>
      <c r="F17" s="45">
        <v>2106.8364911834983</v>
      </c>
      <c r="G17" s="88">
        <v>18.358396900942537</v>
      </c>
      <c r="H17" s="46">
        <v>16.564689805729344</v>
      </c>
      <c r="I17" s="46">
        <v>18.29949603835189</v>
      </c>
      <c r="J17" s="46">
        <v>36.843993883389196</v>
      </c>
      <c r="K17" s="47">
        <v>16.93662696134993</v>
      </c>
      <c r="L17" s="46">
        <v>18.358396900942537</v>
      </c>
      <c r="M17" s="46">
        <v>16.564689805729344</v>
      </c>
      <c r="N17" s="46">
        <v>18.272488107368172</v>
      </c>
      <c r="O17" s="46">
        <v>34.78389324602638</v>
      </c>
      <c r="P17" s="47">
        <v>16.93662696134993</v>
      </c>
    </row>
    <row r="18" spans="1:16" ht="15" hidden="1" outlineLevel="1">
      <c r="A18">
        <v>9</v>
      </c>
      <c r="B18" s="44">
        <v>3231.573528634565</v>
      </c>
      <c r="C18" s="45">
        <v>2087.392851983202</v>
      </c>
      <c r="D18" s="45">
        <v>578.2431290654895</v>
      </c>
      <c r="E18" s="45">
        <v>553.8128402911559</v>
      </c>
      <c r="F18" s="45">
        <v>2084.452252181998</v>
      </c>
      <c r="G18" s="88">
        <v>18.00811272039308</v>
      </c>
      <c r="H18" s="46">
        <v>16.44541147435226</v>
      </c>
      <c r="I18" s="46">
        <v>17.824609845376813</v>
      </c>
      <c r="J18" s="46">
        <v>41.04904097888853</v>
      </c>
      <c r="K18" s="47">
        <v>16.145108740146583</v>
      </c>
      <c r="L18" s="46">
        <v>18.00811272039308</v>
      </c>
      <c r="M18" s="46">
        <v>16.44541147435226</v>
      </c>
      <c r="N18" s="46">
        <v>17.809125797558867</v>
      </c>
      <c r="O18" s="46">
        <v>35.39494268097023</v>
      </c>
      <c r="P18" s="47">
        <v>16.14425781103771</v>
      </c>
    </row>
    <row r="19" spans="1:16" ht="15" hidden="1" outlineLevel="1">
      <c r="A19">
        <v>10</v>
      </c>
      <c r="B19" s="44">
        <v>3259.590299229966</v>
      </c>
      <c r="C19" s="45">
        <v>2121.3916146181887</v>
      </c>
      <c r="D19" s="45">
        <v>575.3997466692125</v>
      </c>
      <c r="E19" s="45">
        <v>558.0756291440663</v>
      </c>
      <c r="F19" s="45">
        <v>2086.62279965527</v>
      </c>
      <c r="G19" s="88">
        <v>18.35959026932534</v>
      </c>
      <c r="H19" s="46">
        <v>17.756596912313157</v>
      </c>
      <c r="I19" s="46">
        <v>17.49438882299498</v>
      </c>
      <c r="J19" s="46">
        <v>48.05087606002104</v>
      </c>
      <c r="K19" s="47">
        <v>16.287181992914324</v>
      </c>
      <c r="L19" s="46">
        <v>18.358371590548956</v>
      </c>
      <c r="M19" s="46">
        <v>17.639272739712812</v>
      </c>
      <c r="N19" s="46">
        <v>17.491900546223206</v>
      </c>
      <c r="O19" s="46">
        <v>37.20631996512032</v>
      </c>
      <c r="P19" s="47">
        <v>16.1918345977671</v>
      </c>
    </row>
    <row r="20" spans="1:16" ht="15" hidden="1" outlineLevel="1">
      <c r="A20">
        <v>11</v>
      </c>
      <c r="B20" s="44">
        <v>3376.4677443434525</v>
      </c>
      <c r="C20" s="45">
        <v>2199.9478382854186</v>
      </c>
      <c r="D20" s="45">
        <v>578.2815740927417</v>
      </c>
      <c r="E20" s="45">
        <v>568.3864317939095</v>
      </c>
      <c r="F20" s="45">
        <v>2135.7738180904707</v>
      </c>
      <c r="G20" s="88">
        <v>20.404415532059232</v>
      </c>
      <c r="H20" s="46">
        <v>19.02648183190124</v>
      </c>
      <c r="I20" s="46">
        <v>19.421847332484404</v>
      </c>
      <c r="J20" s="46">
        <v>42.51566086545112</v>
      </c>
      <c r="K20" s="47">
        <v>18.30464338408803</v>
      </c>
      <c r="L20" s="46">
        <v>20.257007940308085</v>
      </c>
      <c r="M20" s="46">
        <v>18.749785423040887</v>
      </c>
      <c r="N20" s="46">
        <v>19.407699331488796</v>
      </c>
      <c r="O20" s="46">
        <v>37.85650365186875</v>
      </c>
      <c r="P20" s="47">
        <v>18.022989190058674</v>
      </c>
    </row>
    <row r="21" spans="1:16" ht="15" hidden="1" outlineLevel="1">
      <c r="A21">
        <v>12</v>
      </c>
      <c r="B21" s="44">
        <v>3542.9446682974926</v>
      </c>
      <c r="C21" s="45">
        <v>2298.789496473448</v>
      </c>
      <c r="D21" s="45">
        <v>593.2811530799432</v>
      </c>
      <c r="E21" s="45">
        <v>583.4825386116289</v>
      </c>
      <c r="F21" s="45">
        <v>2219.2004885290753</v>
      </c>
      <c r="G21" s="88">
        <v>21.837912381490202</v>
      </c>
      <c r="H21" s="46">
        <v>20.186382324432156</v>
      </c>
      <c r="I21" s="46">
        <v>20.50806023709715</v>
      </c>
      <c r="J21" s="46">
        <v>57.70259544598776</v>
      </c>
      <c r="K21" s="47">
        <v>19.64192686047716</v>
      </c>
      <c r="L21" s="46">
        <v>21.579414207934597</v>
      </c>
      <c r="M21" s="46">
        <v>19.639347507530662</v>
      </c>
      <c r="N21" s="46">
        <v>20.411906285189843</v>
      </c>
      <c r="O21" s="46">
        <v>40.80344634771082</v>
      </c>
      <c r="P21" s="47">
        <v>19.178999187889342</v>
      </c>
    </row>
    <row r="22" spans="1:16" ht="15" hidden="1" outlineLevel="1">
      <c r="A22">
        <v>13</v>
      </c>
      <c r="B22" s="44">
        <v>3853.4725060573987</v>
      </c>
      <c r="C22" s="45">
        <v>2462.1899483779216</v>
      </c>
      <c r="D22" s="45">
        <v>617.6130108814723</v>
      </c>
      <c r="E22" s="45">
        <v>612.7260863370925</v>
      </c>
      <c r="F22" s="45">
        <v>2394.183240382034</v>
      </c>
      <c r="G22" s="88">
        <v>27.536310099649864</v>
      </c>
      <c r="H22" s="46">
        <v>24.769819417686197</v>
      </c>
      <c r="I22" s="46">
        <v>25.63114348360853</v>
      </c>
      <c r="J22" s="46">
        <v>55.87238530929274</v>
      </c>
      <c r="K22" s="47">
        <v>26.1245098058348</v>
      </c>
      <c r="L22" s="46">
        <v>26.1233685879051</v>
      </c>
      <c r="M22" s="46">
        <v>23.35067563448799</v>
      </c>
      <c r="N22" s="46">
        <v>24.869529402987286</v>
      </c>
      <c r="O22" s="46">
        <v>44.126530081529395</v>
      </c>
      <c r="P22" s="47">
        <v>24.62591042098382</v>
      </c>
    </row>
    <row r="23" spans="1:16" ht="15" hidden="1" outlineLevel="1">
      <c r="A23">
        <v>14</v>
      </c>
      <c r="B23" s="44">
        <v>4140.195805634685</v>
      </c>
      <c r="C23" s="45">
        <v>2628.2728120364054</v>
      </c>
      <c r="D23" s="45">
        <v>666.4066642146275</v>
      </c>
      <c r="E23" s="45">
        <v>647.9906914524234</v>
      </c>
      <c r="F23" s="45">
        <v>2573.8724193561156</v>
      </c>
      <c r="G23" s="88">
        <v>34.289189401311</v>
      </c>
      <c r="H23" s="46">
        <v>30.2821857708853</v>
      </c>
      <c r="I23" s="46">
        <v>33.45897858060933</v>
      </c>
      <c r="J23" s="46">
        <v>66.45442144029418</v>
      </c>
      <c r="K23" s="47">
        <v>33.81573277883999</v>
      </c>
      <c r="L23" s="46">
        <v>30.79768462288828</v>
      </c>
      <c r="M23" s="46">
        <v>27.152178018142735</v>
      </c>
      <c r="N23" s="46">
        <v>30.977593268299884</v>
      </c>
      <c r="O23" s="46">
        <v>48.13136315226998</v>
      </c>
      <c r="P23" s="47">
        <v>30.426267125981617</v>
      </c>
    </row>
    <row r="24" spans="1:16" ht="15" hidden="1" outlineLevel="1">
      <c r="A24">
        <v>15</v>
      </c>
      <c r="B24" s="44">
        <v>4334.962561928367</v>
      </c>
      <c r="C24" s="45">
        <v>2804.258271497938</v>
      </c>
      <c r="D24" s="45">
        <v>722.4365904589263</v>
      </c>
      <c r="E24" s="45">
        <v>691.8767825318043</v>
      </c>
      <c r="F24" s="45">
        <v>2709.8389607716695</v>
      </c>
      <c r="G24" s="88">
        <v>30.539171095552003</v>
      </c>
      <c r="H24" s="46">
        <v>34.939616971917864</v>
      </c>
      <c r="I24" s="46">
        <v>31.2252069924744</v>
      </c>
      <c r="J24" s="46">
        <v>68.74761940394593</v>
      </c>
      <c r="K24" s="47">
        <v>30.193797616650563</v>
      </c>
      <c r="L24" s="46">
        <v>29.15726884958565</v>
      </c>
      <c r="M24" s="46">
        <v>28.03617934745482</v>
      </c>
      <c r="N24" s="46">
        <v>31.2085829763369</v>
      </c>
      <c r="O24" s="46">
        <v>46.81968951266857</v>
      </c>
      <c r="P24" s="47">
        <v>29.099467028955985</v>
      </c>
    </row>
    <row r="25" spans="1:16" ht="15" hidden="1" outlineLevel="1">
      <c r="A25">
        <v>16</v>
      </c>
      <c r="B25" s="44">
        <v>4549.689475940395</v>
      </c>
      <c r="C25" s="45">
        <v>2894.250292082091</v>
      </c>
      <c r="D25" s="45">
        <v>769.6274426362027</v>
      </c>
      <c r="E25" s="45">
        <v>725.0511174925496</v>
      </c>
      <c r="F25" s="45">
        <v>2847.27473792412</v>
      </c>
      <c r="G25" s="88">
        <v>37.61430252592276</v>
      </c>
      <c r="H25" s="46">
        <v>38.64280025901763</v>
      </c>
      <c r="I25" s="46">
        <v>39.656698483111754</v>
      </c>
      <c r="J25" s="46">
        <v>76.87976361768361</v>
      </c>
      <c r="K25" s="47">
        <v>37.80853620739735</v>
      </c>
      <c r="L25" s="46">
        <v>35.386976355259264</v>
      </c>
      <c r="M25" s="46">
        <v>33.897515371398576</v>
      </c>
      <c r="N25" s="46">
        <v>37.80467180846059</v>
      </c>
      <c r="O25" s="46">
        <v>52.794669584299626</v>
      </c>
      <c r="P25" s="47">
        <v>36.02622609645327</v>
      </c>
    </row>
    <row r="26" spans="1:16" ht="15" hidden="1" outlineLevel="1">
      <c r="A26">
        <v>17</v>
      </c>
      <c r="B26" s="44">
        <v>4653.004130281939</v>
      </c>
      <c r="C26" s="45">
        <v>2926.82362044741</v>
      </c>
      <c r="D26" s="45">
        <v>816.6138093522263</v>
      </c>
      <c r="E26" s="45">
        <v>736.7833125402719</v>
      </c>
      <c r="F26" s="45">
        <v>2935.0319492962863</v>
      </c>
      <c r="G26" s="88">
        <v>45.370388989749365</v>
      </c>
      <c r="H26" s="46">
        <v>37.97346186518458</v>
      </c>
      <c r="I26" s="46">
        <v>45.792383763348035</v>
      </c>
      <c r="J26" s="46">
        <v>85.5168577112441</v>
      </c>
      <c r="K26" s="47">
        <v>42.8147923350162</v>
      </c>
      <c r="L26" s="46">
        <v>37.17938642455702</v>
      </c>
      <c r="M26" s="46">
        <v>33.90098506532874</v>
      </c>
      <c r="N26" s="46">
        <v>41.612803115214525</v>
      </c>
      <c r="O26" s="46">
        <v>55.00826141383209</v>
      </c>
      <c r="P26" s="47">
        <v>38.774736477774645</v>
      </c>
    </row>
    <row r="27" spans="1:16" ht="15" hidden="1" outlineLevel="1">
      <c r="A27">
        <v>18</v>
      </c>
      <c r="B27" s="44">
        <v>4666.2453074431905</v>
      </c>
      <c r="C27" s="45">
        <v>2924.895595594003</v>
      </c>
      <c r="D27" s="45">
        <v>840.1936853726711</v>
      </c>
      <c r="E27" s="45">
        <v>735.2069400367378</v>
      </c>
      <c r="F27" s="45">
        <v>2965.214505847884</v>
      </c>
      <c r="G27" s="88">
        <v>42.719810910250786</v>
      </c>
      <c r="H27" s="46">
        <v>35.34192990279319</v>
      </c>
      <c r="I27" s="46">
        <v>49.03930059409567</v>
      </c>
      <c r="J27" s="46">
        <v>74.83776834979466</v>
      </c>
      <c r="K27" s="47">
        <v>43.422192292183965</v>
      </c>
      <c r="L27" s="46">
        <v>35.63430800225608</v>
      </c>
      <c r="M27" s="46">
        <v>32.323144626281845</v>
      </c>
      <c r="N27" s="46">
        <v>41.37735341790658</v>
      </c>
      <c r="O27" s="46">
        <v>53.74125463952839</v>
      </c>
      <c r="P27" s="47">
        <v>37.79576133350957</v>
      </c>
    </row>
    <row r="28" spans="1:16" ht="15" hidden="1" outlineLevel="1">
      <c r="A28">
        <v>19</v>
      </c>
      <c r="B28" s="44">
        <v>4699.372702544711</v>
      </c>
      <c r="C28" s="45">
        <v>2916.5135617645974</v>
      </c>
      <c r="D28" s="45">
        <v>848.007682548449</v>
      </c>
      <c r="E28" s="45">
        <v>729.9271062112348</v>
      </c>
      <c r="F28" s="45">
        <v>2998.0727973655057</v>
      </c>
      <c r="G28" s="88">
        <v>39.20080833555295</v>
      </c>
      <c r="H28" s="46">
        <v>37.88370681148724</v>
      </c>
      <c r="I28" s="46">
        <v>43.93600091576335</v>
      </c>
      <c r="J28" s="46">
        <v>113.28836544879141</v>
      </c>
      <c r="K28" s="47">
        <v>40.78160596607354</v>
      </c>
      <c r="L28" s="46">
        <v>36.82856192137616</v>
      </c>
      <c r="M28" s="46">
        <v>33.343226421528634</v>
      </c>
      <c r="N28" s="46">
        <v>42.25199770118157</v>
      </c>
      <c r="O28" s="46">
        <v>54.54344794053013</v>
      </c>
      <c r="P28" s="47">
        <v>39.042806985838595</v>
      </c>
    </row>
    <row r="29" spans="1:16" ht="15" hidden="1" outlineLevel="1">
      <c r="A29">
        <v>20</v>
      </c>
      <c r="B29" s="44">
        <v>4680.35542741253</v>
      </c>
      <c r="C29" s="45">
        <v>2897.169819880238</v>
      </c>
      <c r="D29" s="45">
        <v>852.153096608498</v>
      </c>
      <c r="E29" s="45">
        <v>717.8276978043355</v>
      </c>
      <c r="F29" s="45">
        <v>2986.9569287058252</v>
      </c>
      <c r="G29" s="88">
        <v>36.50616566162805</v>
      </c>
      <c r="H29" s="46">
        <v>35.153693743987176</v>
      </c>
      <c r="I29" s="46">
        <v>44.23264673418759</v>
      </c>
      <c r="J29" s="46">
        <v>80.89693258227516</v>
      </c>
      <c r="K29" s="47">
        <v>39.007049368413014</v>
      </c>
      <c r="L29" s="46">
        <v>35.056600402075944</v>
      </c>
      <c r="M29" s="46">
        <v>31.628478692477227</v>
      </c>
      <c r="N29" s="46">
        <v>41.03062914708936</v>
      </c>
      <c r="O29" s="46">
        <v>53.76234870918904</v>
      </c>
      <c r="P29" s="47">
        <v>37.1526625315602</v>
      </c>
    </row>
    <row r="30" spans="1:16" ht="15" hidden="1" outlineLevel="1">
      <c r="A30">
        <v>21</v>
      </c>
      <c r="B30" s="44">
        <v>4652.308620512373</v>
      </c>
      <c r="C30" s="45">
        <v>2878.924153120048</v>
      </c>
      <c r="D30" s="45">
        <v>843.4920118441219</v>
      </c>
      <c r="E30" s="45">
        <v>702.4115707905223</v>
      </c>
      <c r="F30" s="45">
        <v>2968.4997831380215</v>
      </c>
      <c r="G30" s="88">
        <v>35.21275247371512</v>
      </c>
      <c r="H30" s="46">
        <v>32.767568958859755</v>
      </c>
      <c r="I30" s="46">
        <v>41.52177423522937</v>
      </c>
      <c r="J30" s="46">
        <v>86.96144959961956</v>
      </c>
      <c r="K30" s="47">
        <v>37.808044568909956</v>
      </c>
      <c r="L30" s="46">
        <v>33.8135246774878</v>
      </c>
      <c r="M30" s="46">
        <v>30.211567758873763</v>
      </c>
      <c r="N30" s="46">
        <v>39.675153012853144</v>
      </c>
      <c r="O30" s="46">
        <v>53.80877960708366</v>
      </c>
      <c r="P30" s="47">
        <v>36.147456210058394</v>
      </c>
    </row>
    <row r="31" spans="1:16" ht="15" hidden="1" outlineLevel="1">
      <c r="A31">
        <v>22</v>
      </c>
      <c r="B31" s="44">
        <v>4596.8237650857045</v>
      </c>
      <c r="C31" s="45">
        <v>2858.867334775811</v>
      </c>
      <c r="D31" s="45">
        <v>834.2588232241654</v>
      </c>
      <c r="E31" s="45">
        <v>688.7830293029721</v>
      </c>
      <c r="F31" s="45">
        <v>2946.1948639339776</v>
      </c>
      <c r="G31" s="88">
        <v>33.260969291426946</v>
      </c>
      <c r="H31" s="46">
        <v>30.890098010503692</v>
      </c>
      <c r="I31" s="46">
        <v>40.427550602906734</v>
      </c>
      <c r="J31" s="46">
        <v>61.07979336827351</v>
      </c>
      <c r="K31" s="47">
        <v>35.62429356875386</v>
      </c>
      <c r="L31" s="46">
        <v>32.31010120071015</v>
      </c>
      <c r="M31" s="46">
        <v>28.75633989819097</v>
      </c>
      <c r="N31" s="46">
        <v>38.393283198091865</v>
      </c>
      <c r="O31" s="46">
        <v>52.293464309854095</v>
      </c>
      <c r="P31" s="47">
        <v>34.72254562605252</v>
      </c>
    </row>
    <row r="32" spans="1:16" ht="15" hidden="1" outlineLevel="1">
      <c r="A32">
        <v>23</v>
      </c>
      <c r="B32" s="44">
        <v>4522.699607475912</v>
      </c>
      <c r="C32" s="45">
        <v>2837.9827946340606</v>
      </c>
      <c r="D32" s="45">
        <v>826.4962664495414</v>
      </c>
      <c r="E32" s="45">
        <v>677.7393767221548</v>
      </c>
      <c r="F32" s="45">
        <v>2923.821225031902</v>
      </c>
      <c r="G32" s="88">
        <v>32.05130362239047</v>
      </c>
      <c r="H32" s="46">
        <v>31.59708726709883</v>
      </c>
      <c r="I32" s="46">
        <v>37.87946092623066</v>
      </c>
      <c r="J32" s="46">
        <v>60.27628984213372</v>
      </c>
      <c r="K32" s="47">
        <v>35.00973820394268</v>
      </c>
      <c r="L32" s="46">
        <v>31.10565249772167</v>
      </c>
      <c r="M32" s="46">
        <v>28.10337146731438</v>
      </c>
      <c r="N32" s="46">
        <v>37.225808129913275</v>
      </c>
      <c r="O32" s="46">
        <v>49.39483237115725</v>
      </c>
      <c r="P32" s="47">
        <v>33.52185951217595</v>
      </c>
    </row>
    <row r="33" spans="1:16" ht="15" hidden="1" outlineLevel="1">
      <c r="A33">
        <v>24</v>
      </c>
      <c r="B33" s="44">
        <v>4465.106546365729</v>
      </c>
      <c r="C33" s="45">
        <v>2825.7182806619508</v>
      </c>
      <c r="D33" s="45">
        <v>824.7585278701986</v>
      </c>
      <c r="E33" s="45">
        <v>668.0557683368402</v>
      </c>
      <c r="F33" s="45">
        <v>2905.342722302711</v>
      </c>
      <c r="G33" s="88">
        <v>30.844742548566344</v>
      </c>
      <c r="H33" s="46">
        <v>30.496350195644077</v>
      </c>
      <c r="I33" s="46">
        <v>38.25018782199015</v>
      </c>
      <c r="J33" s="46">
        <v>59.76867510898768</v>
      </c>
      <c r="K33" s="47">
        <v>34.059529777810766</v>
      </c>
      <c r="L33" s="46">
        <v>30.274382636845587</v>
      </c>
      <c r="M33" s="46">
        <v>27.443590790495968</v>
      </c>
      <c r="N33" s="46">
        <v>36.75831599614532</v>
      </c>
      <c r="O33" s="46">
        <v>49.2434680086396</v>
      </c>
      <c r="P33" s="47">
        <v>32.8775652666118</v>
      </c>
    </row>
    <row r="34" spans="1:16" ht="15" hidden="1" outlineLevel="1">
      <c r="A34">
        <v>25</v>
      </c>
      <c r="B34" s="44">
        <v>4424.041969289532</v>
      </c>
      <c r="C34" s="45">
        <v>2810.825319000778</v>
      </c>
      <c r="D34" s="45">
        <v>821.6293161690182</v>
      </c>
      <c r="E34" s="45">
        <v>659.5419320742039</v>
      </c>
      <c r="F34" s="45">
        <v>2889.784538388243</v>
      </c>
      <c r="G34" s="88">
        <v>30.70771557434922</v>
      </c>
      <c r="H34" s="46">
        <v>28.123380889179014</v>
      </c>
      <c r="I34" s="46">
        <v>38.37504763860457</v>
      </c>
      <c r="J34" s="46">
        <v>53.596387650041464</v>
      </c>
      <c r="K34" s="47">
        <v>32.71747314489303</v>
      </c>
      <c r="L34" s="46">
        <v>29.722760033571443</v>
      </c>
      <c r="M34" s="46">
        <v>26.243748453166557</v>
      </c>
      <c r="N34" s="46">
        <v>35.9574904475627</v>
      </c>
      <c r="O34" s="46">
        <v>47.22139702412585</v>
      </c>
      <c r="P34" s="47">
        <v>31.717949906277326</v>
      </c>
    </row>
    <row r="35" spans="1:16" ht="15" hidden="1" outlineLevel="1">
      <c r="A35">
        <v>26</v>
      </c>
      <c r="B35" s="44">
        <v>4383.736076916414</v>
      </c>
      <c r="C35" s="45">
        <v>2798.3910550717787</v>
      </c>
      <c r="D35" s="45">
        <v>817.1103747644214</v>
      </c>
      <c r="E35" s="45">
        <v>651.3090866277599</v>
      </c>
      <c r="F35" s="45">
        <v>2874.6900574063047</v>
      </c>
      <c r="G35" s="88">
        <v>29.07977158099972</v>
      </c>
      <c r="H35" s="46">
        <v>26.518048503979966</v>
      </c>
      <c r="I35" s="46">
        <v>37.74376335430069</v>
      </c>
      <c r="J35" s="46">
        <v>50.030192206665745</v>
      </c>
      <c r="K35" s="47">
        <v>31.67561752379602</v>
      </c>
      <c r="L35" s="46">
        <v>28.708539189787082</v>
      </c>
      <c r="M35" s="46">
        <v>25.088292150123284</v>
      </c>
      <c r="N35" s="46">
        <v>35.595514823901354</v>
      </c>
      <c r="O35" s="46">
        <v>46.41455158213769</v>
      </c>
      <c r="P35" s="47">
        <v>31.263336682716325</v>
      </c>
    </row>
    <row r="36" spans="1:16" ht="15" hidden="1" outlineLevel="1">
      <c r="A36">
        <v>27</v>
      </c>
      <c r="B36" s="44">
        <v>4347.630054406281</v>
      </c>
      <c r="C36" s="45">
        <v>2788.5991262324173</v>
      </c>
      <c r="D36" s="45">
        <v>814.0280695329718</v>
      </c>
      <c r="E36" s="45">
        <v>645.3976231308993</v>
      </c>
      <c r="F36" s="45">
        <v>2888.0409471281887</v>
      </c>
      <c r="G36" s="88">
        <v>29.508510342401557</v>
      </c>
      <c r="H36" s="46">
        <v>26.801377057282757</v>
      </c>
      <c r="I36" s="46">
        <v>38.46231316335235</v>
      </c>
      <c r="J36" s="46">
        <v>50.53128659939826</v>
      </c>
      <c r="K36" s="47">
        <v>33.87482292184165</v>
      </c>
      <c r="L36" s="46">
        <v>29.027963865965926</v>
      </c>
      <c r="M36" s="46">
        <v>25.366620592054712</v>
      </c>
      <c r="N36" s="46">
        <v>36.275434673094125</v>
      </c>
      <c r="O36" s="46">
        <v>46.60936367102599</v>
      </c>
      <c r="P36" s="47">
        <v>32.32110766886984</v>
      </c>
    </row>
    <row r="37" spans="1:16" ht="15" hidden="1" outlineLevel="1">
      <c r="A37">
        <v>28</v>
      </c>
      <c r="B37" s="44">
        <v>4313.561139676735</v>
      </c>
      <c r="C37" s="45">
        <v>2781.197602707978</v>
      </c>
      <c r="D37" s="45">
        <v>819.5900867907862</v>
      </c>
      <c r="E37" s="45">
        <v>642.0533438480868</v>
      </c>
      <c r="F37" s="45">
        <v>2874.389928366878</v>
      </c>
      <c r="G37" s="88">
        <v>28.49788441622659</v>
      </c>
      <c r="H37" s="46">
        <v>25.505874169917124</v>
      </c>
      <c r="I37" s="46">
        <v>36.126874753244266</v>
      </c>
      <c r="J37" s="46">
        <v>52.99400847071144</v>
      </c>
      <c r="K37" s="47">
        <v>32.227829502880084</v>
      </c>
      <c r="L37" s="46">
        <v>28.248090927736524</v>
      </c>
      <c r="M37" s="46">
        <v>24.746277328558328</v>
      </c>
      <c r="N37" s="46">
        <v>36.091715563194676</v>
      </c>
      <c r="O37" s="46">
        <v>46.354017018088825</v>
      </c>
      <c r="P37" s="47">
        <v>31.320575225814977</v>
      </c>
    </row>
    <row r="38" spans="1:16" ht="15" hidden="1" outlineLevel="1">
      <c r="A38">
        <v>29</v>
      </c>
      <c r="B38" s="44">
        <v>4290.806002258394</v>
      </c>
      <c r="C38" s="45">
        <v>2775.7121094755503</v>
      </c>
      <c r="D38" s="45">
        <v>812.9244500298198</v>
      </c>
      <c r="E38" s="45">
        <v>647.5593684126422</v>
      </c>
      <c r="F38" s="45">
        <v>2855.2525933903894</v>
      </c>
      <c r="G38" s="88">
        <v>28.32209521945576</v>
      </c>
      <c r="H38" s="46">
        <v>25.345963454249294</v>
      </c>
      <c r="I38" s="46">
        <v>34.09778749451558</v>
      </c>
      <c r="J38" s="46">
        <v>49.541041652433435</v>
      </c>
      <c r="K38" s="47">
        <v>30.868810829262614</v>
      </c>
      <c r="L38" s="46">
        <v>27.78959845383393</v>
      </c>
      <c r="M38" s="46">
        <v>24.59903137217832</v>
      </c>
      <c r="N38" s="46">
        <v>35.009963996167386</v>
      </c>
      <c r="O38" s="46">
        <v>46.58395456684443</v>
      </c>
      <c r="P38" s="47">
        <v>30.586491694835377</v>
      </c>
    </row>
    <row r="39" spans="1:16" ht="15" hidden="1" outlineLevel="1">
      <c r="A39">
        <v>30</v>
      </c>
      <c r="B39" s="44">
        <v>4266.259610031659</v>
      </c>
      <c r="C39" s="45">
        <v>2764.8680412369813</v>
      </c>
      <c r="D39" s="45">
        <v>807.1000675142875</v>
      </c>
      <c r="E39" s="45">
        <v>646.6362033612143</v>
      </c>
      <c r="F39" s="45">
        <v>2837.3231001161544</v>
      </c>
      <c r="G39" s="88">
        <v>26.962448063322626</v>
      </c>
      <c r="H39" s="46">
        <v>24.16696900018908</v>
      </c>
      <c r="I39" s="46">
        <v>32.59585810570762</v>
      </c>
      <c r="J39" s="46">
        <v>47.40794312756103</v>
      </c>
      <c r="K39" s="47">
        <v>29.22488948154598</v>
      </c>
      <c r="L39" s="46">
        <v>26.85419385508869</v>
      </c>
      <c r="M39" s="46">
        <v>23.815192936413588</v>
      </c>
      <c r="N39" s="46">
        <v>33.58206734091972</v>
      </c>
      <c r="O39" s="46">
        <v>45.755374178741526</v>
      </c>
      <c r="P39" s="47">
        <v>29.454694089188127</v>
      </c>
    </row>
    <row r="40" spans="1:16" ht="15" hidden="1" outlineLevel="1">
      <c r="A40">
        <v>31</v>
      </c>
      <c r="B40" s="44">
        <v>4268.912733168216</v>
      </c>
      <c r="C40" s="45">
        <v>2767.8764127119434</v>
      </c>
      <c r="D40" s="45">
        <v>799.8742983970858</v>
      </c>
      <c r="E40" s="45">
        <v>649.6006999063687</v>
      </c>
      <c r="F40" s="45">
        <v>2821.1117741448434</v>
      </c>
      <c r="G40" s="88">
        <v>26.45197944391693</v>
      </c>
      <c r="H40" s="46">
        <v>23.751289093975828</v>
      </c>
      <c r="I40" s="46">
        <v>31.52147742427916</v>
      </c>
      <c r="J40" s="46">
        <v>48.78163743185798</v>
      </c>
      <c r="K40" s="47">
        <v>28.192321742203656</v>
      </c>
      <c r="L40" s="46">
        <v>26.50529273997229</v>
      </c>
      <c r="M40" s="46">
        <v>23.450119208989314</v>
      </c>
      <c r="N40" s="46">
        <v>32.53247600024573</v>
      </c>
      <c r="O40" s="46">
        <v>45.17215317765006</v>
      </c>
      <c r="P40" s="47">
        <v>28.61645580416005</v>
      </c>
    </row>
    <row r="41" spans="1:16" ht="15" hidden="1" outlineLevel="1">
      <c r="A41">
        <v>32</v>
      </c>
      <c r="B41" s="44">
        <v>4321.000767230815</v>
      </c>
      <c r="C41" s="45">
        <v>2787.093461800622</v>
      </c>
      <c r="D41" s="45">
        <v>796.1239402665669</v>
      </c>
      <c r="E41" s="45">
        <v>657.1321649660165</v>
      </c>
      <c r="F41" s="45">
        <v>2828.09318798594</v>
      </c>
      <c r="G41" s="88">
        <v>27.92142983248905</v>
      </c>
      <c r="H41" s="46">
        <v>25.062785218282364</v>
      </c>
      <c r="I41" s="46">
        <v>32.03440086953776</v>
      </c>
      <c r="J41" s="46">
        <v>51.01238134203788</v>
      </c>
      <c r="K41" s="47">
        <v>29.35710996241043</v>
      </c>
      <c r="L41" s="46">
        <v>27.128366758351525</v>
      </c>
      <c r="M41" s="46">
        <v>24.0732600685538</v>
      </c>
      <c r="N41" s="46">
        <v>32.76180765565208</v>
      </c>
      <c r="O41" s="46">
        <v>45.55338234662023</v>
      </c>
      <c r="P41" s="47">
        <v>29.08237101776212</v>
      </c>
    </row>
    <row r="42" spans="1:16" ht="15" hidden="1" outlineLevel="1">
      <c r="A42">
        <v>33</v>
      </c>
      <c r="B42" s="44">
        <v>4416.61575390387</v>
      </c>
      <c r="C42" s="45">
        <v>2822.414958042833</v>
      </c>
      <c r="D42" s="45">
        <v>802.3828607166155</v>
      </c>
      <c r="E42" s="45">
        <v>671.1274079456034</v>
      </c>
      <c r="F42" s="45">
        <v>2855.9834555762345</v>
      </c>
      <c r="G42" s="88">
        <v>29.820772506853192</v>
      </c>
      <c r="H42" s="46">
        <v>27.244054556701336</v>
      </c>
      <c r="I42" s="46">
        <v>32.06522145749223</v>
      </c>
      <c r="J42" s="46">
        <v>48.95262230703332</v>
      </c>
      <c r="K42" s="47">
        <v>30.7249234704992</v>
      </c>
      <c r="L42" s="46">
        <v>28.013514180358325</v>
      </c>
      <c r="M42" s="46">
        <v>25.2261136964566</v>
      </c>
      <c r="N42" s="46">
        <v>33.18932483593779</v>
      </c>
      <c r="O42" s="46">
        <v>46.575618726444866</v>
      </c>
      <c r="P42" s="47">
        <v>29.81936113723524</v>
      </c>
    </row>
    <row r="43" spans="1:16" ht="15" hidden="1" outlineLevel="1">
      <c r="A43">
        <v>34</v>
      </c>
      <c r="B43" s="44">
        <v>4578.695423227111</v>
      </c>
      <c r="C43" s="45">
        <v>2891.442733979126</v>
      </c>
      <c r="D43" s="45">
        <v>817.0179205906643</v>
      </c>
      <c r="E43" s="45">
        <v>692.1602458951013</v>
      </c>
      <c r="F43" s="45">
        <v>2924.0704957176204</v>
      </c>
      <c r="G43" s="88">
        <v>33.46855555419515</v>
      </c>
      <c r="H43" s="46">
        <v>32.10717516747416</v>
      </c>
      <c r="I43" s="46">
        <v>34.8356258243829</v>
      </c>
      <c r="J43" s="46">
        <v>80.81030780854086</v>
      </c>
      <c r="K43" s="47">
        <v>34.08186287078587</v>
      </c>
      <c r="L43" s="46">
        <v>30.875379969297736</v>
      </c>
      <c r="M43" s="46">
        <v>27.93301626626341</v>
      </c>
      <c r="N43" s="46">
        <v>35.37241414174739</v>
      </c>
      <c r="O43" s="46">
        <v>47.718403108036455</v>
      </c>
      <c r="P43" s="47">
        <v>32.5343516190996</v>
      </c>
    </row>
    <row r="44" spans="1:16" ht="15" hidden="1" outlineLevel="1">
      <c r="A44">
        <v>35</v>
      </c>
      <c r="B44" s="44">
        <v>4842.758209206196</v>
      </c>
      <c r="C44" s="45">
        <v>2972.7718010588187</v>
      </c>
      <c r="D44" s="45">
        <v>847.425627366219</v>
      </c>
      <c r="E44" s="45">
        <v>726.1589971102451</v>
      </c>
      <c r="F44" s="45">
        <v>3044.2495593019344</v>
      </c>
      <c r="G44" s="88">
        <v>60.11297408999714</v>
      </c>
      <c r="H44" s="46">
        <v>54.43261527730214</v>
      </c>
      <c r="I44" s="46">
        <v>43.4764749384487</v>
      </c>
      <c r="J44" s="46">
        <v>77.57911743465067</v>
      </c>
      <c r="K44" s="47">
        <v>47.23343641544754</v>
      </c>
      <c r="L44" s="46">
        <v>41.72189382386316</v>
      </c>
      <c r="M44" s="46">
        <v>38.27982103333338</v>
      </c>
      <c r="N44" s="46">
        <v>42.78678770202522</v>
      </c>
      <c r="O44" s="46">
        <v>51.52346134829635</v>
      </c>
      <c r="P44" s="47">
        <v>41.599289654095486</v>
      </c>
    </row>
    <row r="45" spans="1:16" ht="15" hidden="1" outlineLevel="1">
      <c r="A45">
        <v>36</v>
      </c>
      <c r="B45" s="44">
        <v>5120.359467196284</v>
      </c>
      <c r="C45" s="45">
        <v>3076.9976650805197</v>
      </c>
      <c r="D45" s="45">
        <v>898.3582428903708</v>
      </c>
      <c r="E45" s="45">
        <v>751.9265661019447</v>
      </c>
      <c r="F45" s="45">
        <v>3190.8285995300266</v>
      </c>
      <c r="G45" s="88">
        <v>189.21191132747487</v>
      </c>
      <c r="H45" s="46">
        <v>170.9039219410213</v>
      </c>
      <c r="I45" s="46">
        <v>94.78279016095534</v>
      </c>
      <c r="J45" s="46">
        <v>122.16822208629007</v>
      </c>
      <c r="K45" s="47">
        <v>128.41854498014646</v>
      </c>
      <c r="L45" s="46">
        <v>60.76699603173293</v>
      </c>
      <c r="M45" s="46">
        <v>57.34043789803303</v>
      </c>
      <c r="N45" s="46">
        <v>60.04422224837454</v>
      </c>
      <c r="O45" s="46">
        <v>58.228985624354365</v>
      </c>
      <c r="P45" s="47">
        <v>59.475259729562275</v>
      </c>
    </row>
    <row r="46" spans="1:16" ht="15" hidden="1" outlineLevel="1">
      <c r="A46">
        <v>37</v>
      </c>
      <c r="B46" s="44">
        <v>5177.448797534415</v>
      </c>
      <c r="C46" s="45">
        <v>3085.169631421941</v>
      </c>
      <c r="D46" s="45">
        <v>961.764347660159</v>
      </c>
      <c r="E46" s="45">
        <v>754.7508191301423</v>
      </c>
      <c r="F46" s="45">
        <v>3229.791116425684</v>
      </c>
      <c r="G46" s="88">
        <v>178.239256873281</v>
      </c>
      <c r="H46" s="46">
        <v>148.62629675989047</v>
      </c>
      <c r="I46" s="46">
        <v>107.23542597812173</v>
      </c>
      <c r="J46" s="46">
        <v>117.72029631533599</v>
      </c>
      <c r="K46" s="47">
        <v>122.56595400733268</v>
      </c>
      <c r="L46" s="46">
        <v>62.927698637457354</v>
      </c>
      <c r="M46" s="46">
        <v>58.1393761283657</v>
      </c>
      <c r="N46" s="46">
        <v>64.75953017373573</v>
      </c>
      <c r="O46" s="46">
        <v>57.03567554006741</v>
      </c>
      <c r="P46" s="47">
        <v>62.0508576133639</v>
      </c>
    </row>
    <row r="47" spans="1:16" ht="15" hidden="1" outlineLevel="1">
      <c r="A47">
        <v>38</v>
      </c>
      <c r="B47" s="44">
        <v>5123.61020619879</v>
      </c>
      <c r="C47" s="45">
        <v>3067.8774072054953</v>
      </c>
      <c r="D47" s="45">
        <v>989.2126275855544</v>
      </c>
      <c r="E47" s="45">
        <v>749.8324942912909</v>
      </c>
      <c r="F47" s="45">
        <v>3184.5428852138675</v>
      </c>
      <c r="G47" s="88">
        <v>99.42625539071864</v>
      </c>
      <c r="H47" s="46">
        <v>87.4214839376759</v>
      </c>
      <c r="I47" s="46">
        <v>71.83064249844747</v>
      </c>
      <c r="J47" s="46">
        <v>68.54139943378739</v>
      </c>
      <c r="K47" s="47">
        <v>73.59283942567563</v>
      </c>
      <c r="L47" s="46">
        <v>56.812322859470015</v>
      </c>
      <c r="M47" s="46">
        <v>52.56793833432629</v>
      </c>
      <c r="N47" s="46">
        <v>59.81668939612061</v>
      </c>
      <c r="O47" s="46">
        <v>57.13640843826012</v>
      </c>
      <c r="P47" s="47">
        <v>55.66714018152381</v>
      </c>
    </row>
    <row r="48" spans="1:16" ht="15" hidden="1" outlineLevel="1">
      <c r="A48">
        <v>39</v>
      </c>
      <c r="B48" s="44">
        <v>5010.922645613557</v>
      </c>
      <c r="C48" s="45">
        <v>3021.8028613566908</v>
      </c>
      <c r="D48" s="45">
        <v>982.9237978637373</v>
      </c>
      <c r="E48" s="45">
        <v>740.2899936494935</v>
      </c>
      <c r="F48" s="45">
        <v>3107.7109691868322</v>
      </c>
      <c r="G48" s="88">
        <v>54.35607322853085</v>
      </c>
      <c r="H48" s="46">
        <v>50.41475268774988</v>
      </c>
      <c r="I48" s="46">
        <v>51.96940540783514</v>
      </c>
      <c r="J48" s="46">
        <v>72.99740926127987</v>
      </c>
      <c r="K48" s="47">
        <v>49.39287154900644</v>
      </c>
      <c r="L48" s="46">
        <v>45.31949657410259</v>
      </c>
      <c r="M48" s="46">
        <v>41.720873415604785</v>
      </c>
      <c r="N48" s="46">
        <v>48.65322228123659</v>
      </c>
      <c r="O48" s="46">
        <v>52.35387312029749</v>
      </c>
      <c r="P48" s="47">
        <v>44.766880053980735</v>
      </c>
    </row>
    <row r="49" spans="1:16" ht="15" hidden="1" outlineLevel="1">
      <c r="A49">
        <v>40</v>
      </c>
      <c r="B49" s="44">
        <v>4911.454523678282</v>
      </c>
      <c r="C49" s="45">
        <v>3010.48847528426</v>
      </c>
      <c r="D49" s="45">
        <v>967.0107646848344</v>
      </c>
      <c r="E49" s="45">
        <v>730.7701534837861</v>
      </c>
      <c r="F49" s="45">
        <v>3045.9627200144355</v>
      </c>
      <c r="G49" s="88">
        <v>43.509111029147626</v>
      </c>
      <c r="H49" s="46">
        <v>48.05269439841895</v>
      </c>
      <c r="I49" s="46">
        <v>48.422690883255356</v>
      </c>
      <c r="J49" s="46">
        <v>61.51535745649012</v>
      </c>
      <c r="K49" s="47">
        <v>43.464341702858135</v>
      </c>
      <c r="L49" s="46">
        <v>40.49315722454038</v>
      </c>
      <c r="M49" s="46">
        <v>37.68553296576421</v>
      </c>
      <c r="N49" s="46">
        <v>45.30267873532841</v>
      </c>
      <c r="O49" s="46">
        <v>54.17693430224703</v>
      </c>
      <c r="P49" s="47">
        <v>41.028439508235856</v>
      </c>
    </row>
    <row r="50" spans="1:16" ht="15" hidden="1" outlineLevel="1">
      <c r="A50">
        <v>41</v>
      </c>
      <c r="B50" s="44">
        <v>4840.395498050109</v>
      </c>
      <c r="C50" s="45">
        <v>2991.745752271673</v>
      </c>
      <c r="D50" s="45">
        <v>950.6932558978251</v>
      </c>
      <c r="E50" s="45">
        <v>727.4386328686958</v>
      </c>
      <c r="F50" s="45">
        <v>2979.0863669808714</v>
      </c>
      <c r="G50" s="88">
        <v>41.518852929585776</v>
      </c>
      <c r="H50" s="46">
        <v>39.949860906655466</v>
      </c>
      <c r="I50" s="46">
        <v>48.74468614611374</v>
      </c>
      <c r="J50" s="46">
        <v>63.28370573566521</v>
      </c>
      <c r="K50" s="47">
        <v>42.428949306652314</v>
      </c>
      <c r="L50" s="46">
        <v>38.88406944202343</v>
      </c>
      <c r="M50" s="46">
        <v>35.32664604242888</v>
      </c>
      <c r="N50" s="46">
        <v>44.59412354637557</v>
      </c>
      <c r="O50" s="46">
        <v>55.175504512674244</v>
      </c>
      <c r="P50" s="47">
        <v>39.60731140090775</v>
      </c>
    </row>
    <row r="51" spans="1:16" ht="15" hidden="1" outlineLevel="1">
      <c r="A51">
        <v>42</v>
      </c>
      <c r="B51" s="44">
        <v>4744.870440665944</v>
      </c>
      <c r="C51" s="45">
        <v>2928.7070099263874</v>
      </c>
      <c r="D51" s="45">
        <v>931.761773244256</v>
      </c>
      <c r="E51" s="45">
        <v>715.4053694374377</v>
      </c>
      <c r="F51" s="45">
        <v>2917.804242487219</v>
      </c>
      <c r="G51" s="88">
        <v>38.409337913325864</v>
      </c>
      <c r="H51" s="46">
        <v>36.472497726260755</v>
      </c>
      <c r="I51" s="46">
        <v>46.239713773605025</v>
      </c>
      <c r="J51" s="46">
        <v>55.991288048411825</v>
      </c>
      <c r="K51" s="47">
        <v>39.843353666703536</v>
      </c>
      <c r="L51" s="46">
        <v>35.713836283769844</v>
      </c>
      <c r="M51" s="46">
        <v>32.283629659168156</v>
      </c>
      <c r="N51" s="46">
        <v>42.493241439455566</v>
      </c>
      <c r="O51" s="46">
        <v>51.88016716392201</v>
      </c>
      <c r="P51" s="47">
        <v>36.784832131686</v>
      </c>
    </row>
    <row r="52" spans="1:16" ht="15" hidden="1" outlineLevel="1">
      <c r="A52">
        <v>43</v>
      </c>
      <c r="B52" s="44">
        <v>4607.876391821862</v>
      </c>
      <c r="C52" s="45">
        <v>2866.2174624430763</v>
      </c>
      <c r="D52" s="45">
        <v>910.48367107382</v>
      </c>
      <c r="E52" s="45">
        <v>701.3737643760209</v>
      </c>
      <c r="F52" s="45">
        <v>2827.601101581654</v>
      </c>
      <c r="G52" s="88">
        <v>35.225127918472104</v>
      </c>
      <c r="H52" s="46">
        <v>32.170853460639975</v>
      </c>
      <c r="I52" s="46">
        <v>42.69212625249996</v>
      </c>
      <c r="J52" s="46">
        <v>62.547228309762176</v>
      </c>
      <c r="K52" s="47">
        <v>36.37838363050318</v>
      </c>
      <c r="L52" s="46">
        <v>33.0569906609193</v>
      </c>
      <c r="M52" s="46">
        <v>29.51946588029728</v>
      </c>
      <c r="N52" s="46">
        <v>39.86592775656644</v>
      </c>
      <c r="O52" s="46">
        <v>50.448753291313764</v>
      </c>
      <c r="P52" s="47">
        <v>34.037181253171816</v>
      </c>
    </row>
    <row r="53" spans="1:16" ht="15" hidden="1" outlineLevel="1">
      <c r="A53">
        <v>44</v>
      </c>
      <c r="B53" s="44">
        <v>4452.43789480146</v>
      </c>
      <c r="C53" s="45">
        <v>2777.521083474196</v>
      </c>
      <c r="D53" s="45">
        <v>887.0347563128141</v>
      </c>
      <c r="E53" s="45">
        <v>681.5954256594941</v>
      </c>
      <c r="F53" s="45">
        <v>2728.3233486467147</v>
      </c>
      <c r="G53" s="88">
        <v>30.598797297177523</v>
      </c>
      <c r="H53" s="46">
        <v>28.41999313575504</v>
      </c>
      <c r="I53" s="46">
        <v>37.66225979537842</v>
      </c>
      <c r="J53" s="46">
        <v>52.278672266643966</v>
      </c>
      <c r="K53" s="47">
        <v>31.996215610401237</v>
      </c>
      <c r="L53" s="46">
        <v>29.11929453886607</v>
      </c>
      <c r="M53" s="46">
        <v>26.571058786647267</v>
      </c>
      <c r="N53" s="46">
        <v>36.41817808107287</v>
      </c>
      <c r="O53" s="46">
        <v>48.08653068627498</v>
      </c>
      <c r="P53" s="47">
        <v>30.14193570464865</v>
      </c>
    </row>
    <row r="54" spans="1:16" ht="15" hidden="1" outlineLevel="1">
      <c r="A54">
        <v>45</v>
      </c>
      <c r="B54" s="44">
        <v>4453.229424381339</v>
      </c>
      <c r="C54" s="45">
        <v>2693.4065361369285</v>
      </c>
      <c r="D54" s="45">
        <v>856.7836084177097</v>
      </c>
      <c r="E54" s="45">
        <v>656.7242701366735</v>
      </c>
      <c r="F54" s="45">
        <v>2618.645112615982</v>
      </c>
      <c r="G54" s="88">
        <v>37.398858308719916</v>
      </c>
      <c r="H54" s="46">
        <v>37.88593941255062</v>
      </c>
      <c r="I54" s="46">
        <v>43.84456909926425</v>
      </c>
      <c r="J54" s="46">
        <v>62.370554875117115</v>
      </c>
      <c r="K54" s="47">
        <v>37.28272415162724</v>
      </c>
      <c r="L54" s="46">
        <v>35.14025760005918</v>
      </c>
      <c r="M54" s="46">
        <v>31.595618394688863</v>
      </c>
      <c r="N54" s="46">
        <v>40.46208801107788</v>
      </c>
      <c r="O54" s="46">
        <v>52.1050311062051</v>
      </c>
      <c r="P54" s="47">
        <v>34.92024003424618</v>
      </c>
    </row>
    <row r="55" spans="1:16" ht="15" hidden="1" outlineLevel="1">
      <c r="A55">
        <v>46</v>
      </c>
      <c r="B55" s="44">
        <v>4351.43777359894</v>
      </c>
      <c r="C55" s="45">
        <v>2619.310286823761</v>
      </c>
      <c r="D55" s="45">
        <v>828.0209115435116</v>
      </c>
      <c r="E55" s="45">
        <v>630.0684612869809</v>
      </c>
      <c r="F55" s="45">
        <v>2516.0884940506457</v>
      </c>
      <c r="G55" s="88">
        <v>32.60232375143875</v>
      </c>
      <c r="H55" s="46">
        <v>30.38650728056565</v>
      </c>
      <c r="I55" s="46">
        <v>37.59363479257487</v>
      </c>
      <c r="J55" s="46">
        <v>52.183429982375856</v>
      </c>
      <c r="K55" s="47">
        <v>32.09886772316221</v>
      </c>
      <c r="L55" s="46">
        <v>30.935942399849246</v>
      </c>
      <c r="M55" s="46">
        <v>28.168564113263518</v>
      </c>
      <c r="N55" s="46">
        <v>36.09625237397408</v>
      </c>
      <c r="O55" s="46">
        <v>47.80200275616831</v>
      </c>
      <c r="P55" s="47">
        <v>30.492673531527217</v>
      </c>
    </row>
    <row r="56" spans="1:16" ht="15" collapsed="1">
      <c r="A56">
        <v>47</v>
      </c>
      <c r="B56" s="44">
        <v>4254.107727403854</v>
      </c>
      <c r="C56" s="45">
        <v>2565.021968218659</v>
      </c>
      <c r="D56" s="45">
        <v>789.9681996527584</v>
      </c>
      <c r="E56" s="45">
        <v>605.5139432060466</v>
      </c>
      <c r="F56" s="45">
        <v>2579.7151392280343</v>
      </c>
      <c r="G56" s="88">
        <v>36.60607268258007</v>
      </c>
      <c r="H56" s="46">
        <v>33.710277424084246</v>
      </c>
      <c r="I56" s="46">
        <v>41.49898788371116</v>
      </c>
      <c r="J56" s="46">
        <v>53.41916542432171</v>
      </c>
      <c r="K56" s="47">
        <v>38.33596837202769</v>
      </c>
      <c r="L56" s="46">
        <v>34.74468859956164</v>
      </c>
      <c r="M56" s="46">
        <v>31.07571200272875</v>
      </c>
      <c r="N56" s="46">
        <v>39.90638393657924</v>
      </c>
      <c r="O56" s="46">
        <v>49.68908977634891</v>
      </c>
      <c r="P56" s="47">
        <v>36.41123623544692</v>
      </c>
    </row>
    <row r="57" spans="1:16" ht="15">
      <c r="A57">
        <v>48</v>
      </c>
      <c r="B57" s="48">
        <v>4160.169808928471</v>
      </c>
      <c r="C57" s="49">
        <v>2491.620104063785</v>
      </c>
      <c r="D57" s="49">
        <v>858.0277318784783</v>
      </c>
      <c r="E57" s="49">
        <v>585.9220282195656</v>
      </c>
      <c r="F57" s="49">
        <v>2498.6515746155615</v>
      </c>
      <c r="G57" s="89">
        <v>31.611037441205603</v>
      </c>
      <c r="H57" s="50">
        <v>27.642224867685247</v>
      </c>
      <c r="I57" s="50">
        <v>40.54916335375618</v>
      </c>
      <c r="J57" s="50">
        <v>49.410597395774005</v>
      </c>
      <c r="K57" s="51">
        <v>33.32480977817896</v>
      </c>
      <c r="L57" s="50">
        <v>30.789926796092722</v>
      </c>
      <c r="M57" s="50">
        <v>26.536182002541654</v>
      </c>
      <c r="N57" s="50">
        <v>38.510854784674144</v>
      </c>
      <c r="O57" s="50">
        <v>46.89370240704712</v>
      </c>
      <c r="P57" s="51">
        <v>31.900138407104883</v>
      </c>
    </row>
    <row r="58" spans="1:16" ht="15.75" customHeight="1">
      <c r="A58" s="16" t="s">
        <v>75</v>
      </c>
      <c r="B58" s="6"/>
      <c r="C58" s="6"/>
      <c r="D58" s="6"/>
      <c r="E58" s="6"/>
      <c r="F58" s="6"/>
      <c r="G58" s="70">
        <f>SUMPRODUCT(G10:G57,B10:B57)/SUM(B10:B57)</f>
        <v>41.8576868778643</v>
      </c>
      <c r="H58" s="71">
        <f>SUMPRODUCT(H10:H57,C10:C57)/SUM(C10:C57)</f>
        <v>37.80352873646793</v>
      </c>
      <c r="I58" s="71">
        <f>SUMPRODUCT(I10:I57,D10:D57)/SUM(D10:D57)</f>
        <v>41.01364806106823</v>
      </c>
      <c r="J58" s="71">
        <f>SUMPRODUCT(J10:J57,E10:E57)/SUM(E10:E57)</f>
        <v>62.90140785873658</v>
      </c>
      <c r="K58" s="71">
        <f>SUMPRODUCT(K10:K57,F10:F57)/SUM(F10:F57)</f>
        <v>38.54766915572623</v>
      </c>
      <c r="L58" s="70">
        <f>SUMPRODUCT(L10:L57,B10:B57)/SUM(B10:B57)</f>
        <v>32.74724097696969</v>
      </c>
      <c r="M58" s="71">
        <f>SUMPRODUCT(M10:M57,C10:C57)/SUM(C10:C57)</f>
        <v>29.354780448088224</v>
      </c>
      <c r="N58" s="71">
        <f>SUMPRODUCT(N10:N57,D10:D57)/SUM(D10:D57)</f>
        <v>37.319925017545124</v>
      </c>
      <c r="O58" s="71">
        <f>SUMPRODUCT(O10:O57,E10:E57)/SUM(E10:E57)</f>
        <v>48.16926306905882</v>
      </c>
      <c r="P58" s="72">
        <f>SUMPRODUCT(P10:P57,F10:F57)/SUM(F10:F57)</f>
        <v>33.45881630796362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72</v>
      </c>
      <c r="C61" s="90">
        <v>1.4</v>
      </c>
      <c r="D61" s="91">
        <v>1.3</v>
      </c>
      <c r="E61" s="91">
        <v>1.3</v>
      </c>
      <c r="F61" s="91">
        <v>1.1</v>
      </c>
      <c r="G61" s="92">
        <v>1.4</v>
      </c>
      <c r="H61" s="97" t="s">
        <v>81</v>
      </c>
      <c r="I61" s="98"/>
      <c r="J61" s="98"/>
      <c r="K61" s="98"/>
      <c r="L61" s="98"/>
      <c r="M61" s="98"/>
      <c r="N61" s="98"/>
      <c r="O61" s="98"/>
      <c r="P61" s="98"/>
    </row>
    <row r="62" spans="1:16" s="37" customFormat="1" ht="15.75" customHeight="1">
      <c r="A62" s="35" t="s">
        <v>18</v>
      </c>
      <c r="B62" s="36" t="s">
        <v>73</v>
      </c>
      <c r="C62" s="93">
        <v>1.9</v>
      </c>
      <c r="D62" s="94">
        <v>2</v>
      </c>
      <c r="E62" s="94">
        <v>1.9</v>
      </c>
      <c r="F62" s="94">
        <v>1</v>
      </c>
      <c r="G62" s="95">
        <v>1.8</v>
      </c>
      <c r="H62" s="97"/>
      <c r="I62" s="98"/>
      <c r="J62" s="98"/>
      <c r="K62" s="98"/>
      <c r="L62" s="98"/>
      <c r="M62" s="98"/>
      <c r="N62" s="98"/>
      <c r="O62" s="98"/>
      <c r="P62" s="98"/>
    </row>
    <row r="63" spans="1:23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6" ht="15">
      <c r="A66" t="s">
        <v>87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4">
      <selection activeCell="M35" sqref="M35"/>
    </sheetView>
  </sheetViews>
  <sheetFormatPr defaultColWidth="9.140625" defaultRowHeight="15"/>
  <cols>
    <col min="1" max="1" width="17.140625" style="0" customWidth="1"/>
    <col min="2" max="2" width="16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6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113616.64654683706</v>
      </c>
      <c r="D3" s="56">
        <f>QLD_EL*QLD_P*QLD_PRAFL*QLD_VFOSL*(GST+1)</f>
        <v>915166.61808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100" t="s">
        <v>78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100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6" t="s">
        <v>76</v>
      </c>
      <c r="C19" s="55">
        <f>(C3-C4+C9-C14+C16-C17)*(TOSL)</f>
        <v>3976582.629139297</v>
      </c>
      <c r="D19" s="56">
        <f>(D3-D4+D9-D14+D16-D17)*(TOSL)</f>
        <v>32030831.6328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6" t="s">
        <v>77</v>
      </c>
      <c r="C20" s="58">
        <f>(C19-(C16-C17)*(TOSL))/NSW_VFOSL+(C16-C17)*(TOSL)</f>
        <v>2840416.163670927</v>
      </c>
      <c r="D20" s="59">
        <f>(D19-(D16-D17)*(TOSL))/QLD_VFOSL+(D16-D17)*(TOSL)</f>
        <v>24639101.256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20.25">
      <c r="B21" s="66" t="s">
        <v>34</v>
      </c>
      <c r="C21" s="61">
        <f>MAX(C19:C20)</f>
        <v>3976582.629139297</v>
      </c>
      <c r="D21" s="62">
        <f>MAX(D19:D20)</f>
        <v>32030831.6328</v>
      </c>
      <c r="E21" s="62">
        <f>MAX(E19:E20)</f>
        <v>0</v>
      </c>
      <c r="F21" s="62">
        <f>MAX(F19:F20)</f>
        <v>0</v>
      </c>
      <c r="G21" s="62">
        <f>MAX(G19:G20)</f>
        <v>0</v>
      </c>
      <c r="H21" s="54">
        <f>SUM(C21:G21)</f>
        <v>36007414.2619393</v>
      </c>
    </row>
    <row r="22" spans="2:7" ht="15">
      <c r="B22" s="1"/>
      <c r="C22" s="6"/>
      <c r="D22" s="6"/>
      <c r="E22" s="6"/>
      <c r="F22" s="6"/>
      <c r="G22" s="6"/>
    </row>
    <row r="23" ht="18.75">
      <c r="A23" s="66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154194.0203135646</v>
      </c>
      <c r="D25" s="56">
        <f>QLD_EL*QLD_P*QLD_PRAFL*QLD_VFPM*(GST+1)</f>
        <v>1407948.6432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spans="1:8" ht="15.75">
      <c r="A37" t="s">
        <v>41</v>
      </c>
      <c r="C37" s="6">
        <f>C25-C26</f>
        <v>154194.0203135646</v>
      </c>
      <c r="D37" s="6">
        <f>D25-D26</f>
        <v>1407948.6432</v>
      </c>
      <c r="E37" s="6">
        <f>E25-E26</f>
        <v>0</v>
      </c>
      <c r="F37" s="6">
        <f>F25-F26</f>
        <v>0</v>
      </c>
      <c r="G37" s="6">
        <f>G25-G26</f>
        <v>0</v>
      </c>
      <c r="H37" s="64">
        <f>MAX(0,SUM(C37:G37))*TRP</f>
        <v>10934998.644594952</v>
      </c>
    </row>
    <row r="38" spans="1:8" ht="15.75">
      <c r="A38" t="s">
        <v>42</v>
      </c>
      <c r="C38" s="6">
        <f>C31-C36+C16-C17</f>
        <v>0</v>
      </c>
      <c r="D38" s="6">
        <f>D31-D36+D16-D17</f>
        <v>0</v>
      </c>
      <c r="E38" s="6">
        <f>E31-E36+E16-E17</f>
        <v>0</v>
      </c>
      <c r="F38" s="6">
        <f>F31-F36+F16-F17</f>
        <v>0</v>
      </c>
      <c r="G38" s="6">
        <f>G31-G36+G16-G17</f>
        <v>0</v>
      </c>
      <c r="H38" s="65">
        <f>MAX(0,SUM(C38:G38))*TRP</f>
        <v>0</v>
      </c>
    </row>
    <row r="40" spans="2:8" ht="21">
      <c r="B40" s="68" t="s">
        <v>35</v>
      </c>
      <c r="C40" s="6"/>
      <c r="D40" s="6"/>
      <c r="E40" s="6"/>
      <c r="F40" s="6"/>
      <c r="H40" s="69">
        <f>H37+H38</f>
        <v>10934998.644594952</v>
      </c>
    </row>
    <row r="41" ht="21">
      <c r="B41" s="68"/>
    </row>
    <row r="42" spans="2:8" ht="21">
      <c r="B42" s="68" t="s">
        <v>36</v>
      </c>
      <c r="C42" s="6"/>
      <c r="D42" s="6"/>
      <c r="E42" s="6"/>
      <c r="F42" s="6"/>
      <c r="H42" s="69">
        <f>MAX(0,H40+H21)</f>
        <v>46942412.906534255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34.28125" style="0" customWidth="1"/>
  </cols>
  <sheetData>
    <row r="1" spans="1:2" ht="21">
      <c r="A1" s="67" t="s">
        <v>79</v>
      </c>
      <c r="B1">
        <v>35</v>
      </c>
    </row>
    <row r="2" spans="1:2" ht="21">
      <c r="A2" s="67" t="s">
        <v>80</v>
      </c>
      <c r="B2">
        <v>7</v>
      </c>
    </row>
    <row r="3" spans="1:2" ht="18">
      <c r="A3" s="67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2012-06-18T05:27:28Z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d85f5ac6-67bd-4aef-8cae-800a36a92e54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