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8\2018_July_Major_Update\Publication\"/>
    </mc:Choice>
  </mc:AlternateContent>
  <xr:revisionPtr revIDLastSave="0" documentId="10_ncr:100000_{98C28FF8-BD9E-4EF9-B420-92F5FB3F9FF0}" xr6:coauthVersionLast="31" xr6:coauthVersionMax="31" xr10:uidLastSave="{00000000-0000-0000-0000-000000000000}"/>
  <bookViews>
    <workbookView xWindow="0" yWindow="0" windowWidth="13125" windowHeight="6105" xr2:uid="{00000000-000D-0000-FFFF-FFFF00000000}"/>
  </bookViews>
  <sheets>
    <sheet name="New South Wales Summary" sheetId="1" r:id="rId1"/>
    <sheet name="Change Log" sheetId="2" r:id="rId2"/>
    <sheet name="Existing S &amp; SS Generation" sheetId="11" r:id="rId3"/>
    <sheet name="Summer Scheduled Capacities" sheetId="14" r:id="rId4"/>
    <sheet name="Winter Scheduled Capacities" sheetId="15" r:id="rId5"/>
    <sheet name="Existing NS Generation" sheetId="12" r:id="rId6"/>
    <sheet name="New Developments" sheetId="10" r:id="rId7"/>
    <sheet name="Background Information" sheetId="18" r:id="rId8"/>
  </sheets>
  <definedNames>
    <definedName name="ExternalData_1" localSheetId="5" hidden="1">'Existing NS Generation'!$A$2:$I$89</definedName>
    <definedName name="ExternalData_1" localSheetId="2">'Existing S &amp; SS Generation'!#REF!</definedName>
    <definedName name="ExternalData_1" localSheetId="6" hidden="1">'New Developments'!$A$2:$O$98</definedName>
    <definedName name="ExternalData_1" localSheetId="3" hidden="1">'Summer Scheduled Capacities'!$A$2:$O$39</definedName>
    <definedName name="ExternalData_2" localSheetId="2" hidden="1">'Existing S &amp; SS Generation'!$A$2:$K$33</definedName>
    <definedName name="ExternalData_2" localSheetId="3" hidden="1">'Summer Scheduled Capacities'!$A$49:$O$66</definedName>
    <definedName name="ExternalData_3" localSheetId="3" hidden="1">'Summer Scheduled Capacities'!$A$73:$O$93</definedName>
  </definedNames>
  <calcPr calcId="179017"/>
</workbook>
</file>

<file path=xl/calcChain.xml><?xml version="1.0" encoding="utf-8"?>
<calcChain xmlns="http://schemas.openxmlformats.org/spreadsheetml/2006/main">
  <c r="D35" i="11" l="1"/>
  <c r="L59" i="1" l="1"/>
  <c r="K59" i="1"/>
  <c r="J59" i="1"/>
  <c r="I59" i="1"/>
  <c r="H59" i="1"/>
  <c r="G59" i="1"/>
  <c r="F59" i="1"/>
  <c r="E59" i="1"/>
  <c r="D59" i="1"/>
  <c r="C59" i="1"/>
  <c r="L64" i="1"/>
  <c r="K64" i="1"/>
  <c r="J64" i="1"/>
  <c r="I64" i="1"/>
  <c r="H64" i="1"/>
  <c r="G64" i="1"/>
  <c r="F64" i="1"/>
  <c r="E64" i="1"/>
  <c r="D64" i="1"/>
  <c r="C64" i="1"/>
  <c r="L60" i="1"/>
  <c r="K60" i="1"/>
  <c r="K58" i="1" s="1"/>
  <c r="J60" i="1"/>
  <c r="I60" i="1"/>
  <c r="H60" i="1"/>
  <c r="G60" i="1"/>
  <c r="F60" i="1"/>
  <c r="E60" i="1"/>
  <c r="D60" i="1"/>
  <c r="C60" i="1"/>
  <c r="M64" i="1" l="1"/>
  <c r="G58" i="1"/>
  <c r="M60" i="1"/>
  <c r="F58" i="1"/>
  <c r="J58" i="1"/>
  <c r="M59" i="1"/>
  <c r="D58" i="1"/>
  <c r="H58" i="1"/>
  <c r="L58" i="1"/>
  <c r="E58" i="1"/>
  <c r="I58" i="1"/>
  <c r="C91" i="12"/>
  <c r="G63" i="1" l="1"/>
  <c r="L61" i="1" l="1"/>
  <c r="K61" i="1"/>
  <c r="J61" i="1"/>
  <c r="I61" i="1"/>
  <c r="H61" i="1"/>
  <c r="G61" i="1"/>
  <c r="F61" i="1"/>
  <c r="E61" i="1"/>
  <c r="D61" i="1"/>
  <c r="C61" i="1"/>
  <c r="M61" i="1" l="1"/>
  <c r="C96" i="15"/>
  <c r="D96" i="15"/>
  <c r="E96" i="15"/>
  <c r="F96" i="15"/>
  <c r="G96" i="15"/>
  <c r="H96" i="15"/>
  <c r="I96" i="15"/>
  <c r="J96" i="15"/>
  <c r="K96" i="15"/>
  <c r="B96" i="15"/>
  <c r="C95" i="15"/>
  <c r="D95" i="15"/>
  <c r="E95" i="15"/>
  <c r="F95" i="15"/>
  <c r="G95" i="15"/>
  <c r="H95" i="15"/>
  <c r="I95" i="15"/>
  <c r="J95" i="15"/>
  <c r="K95" i="15"/>
  <c r="B95" i="15"/>
  <c r="K68" i="15"/>
  <c r="K70" i="15" s="1"/>
  <c r="C68" i="15"/>
  <c r="C70" i="15" s="1"/>
  <c r="D68" i="15"/>
  <c r="D70" i="15" s="1"/>
  <c r="E68" i="15"/>
  <c r="E70" i="15" s="1"/>
  <c r="F68" i="15"/>
  <c r="F70" i="15" s="1"/>
  <c r="G68" i="15"/>
  <c r="G70" i="15" s="1"/>
  <c r="H68" i="15"/>
  <c r="H70" i="15" s="1"/>
  <c r="I68" i="15"/>
  <c r="I70" i="15" s="1"/>
  <c r="J68" i="15"/>
  <c r="J70" i="15" s="1"/>
  <c r="B68" i="15"/>
  <c r="B70" i="15" s="1"/>
  <c r="C41" i="15"/>
  <c r="D41" i="15"/>
  <c r="E41" i="15"/>
  <c r="F41" i="15"/>
  <c r="G41" i="15"/>
  <c r="H41" i="15"/>
  <c r="I41" i="15"/>
  <c r="J41" i="15"/>
  <c r="K41" i="15"/>
  <c r="B41" i="15"/>
  <c r="K96" i="14"/>
  <c r="J96" i="14"/>
  <c r="I96" i="14"/>
  <c r="H96" i="14"/>
  <c r="G96" i="14"/>
  <c r="F96" i="14"/>
  <c r="E96" i="14"/>
  <c r="D96" i="14"/>
  <c r="C96" i="14"/>
  <c r="B96" i="14"/>
  <c r="K95" i="14"/>
  <c r="J95" i="14"/>
  <c r="I95" i="14"/>
  <c r="H95" i="14"/>
  <c r="G95" i="14"/>
  <c r="F95" i="14"/>
  <c r="E95" i="14"/>
  <c r="D95" i="14"/>
  <c r="C95" i="14"/>
  <c r="B95" i="14"/>
  <c r="K68" i="14"/>
  <c r="K70" i="14" s="1"/>
  <c r="J68" i="14"/>
  <c r="J70" i="14" s="1"/>
  <c r="I68" i="14"/>
  <c r="I70" i="14" s="1"/>
  <c r="H68" i="14"/>
  <c r="H70" i="14" s="1"/>
  <c r="G68" i="14"/>
  <c r="G70" i="14" s="1"/>
  <c r="F68" i="14"/>
  <c r="F70" i="14" s="1"/>
  <c r="E68" i="14"/>
  <c r="E70" i="14" s="1"/>
  <c r="D68" i="14"/>
  <c r="D70" i="14" s="1"/>
  <c r="C68" i="14"/>
  <c r="C70" i="14" s="1"/>
  <c r="B68" i="14"/>
  <c r="B70" i="14" s="1"/>
  <c r="C41" i="14" l="1"/>
  <c r="D41" i="14"/>
  <c r="E41" i="14"/>
  <c r="F41" i="14"/>
  <c r="G41" i="14"/>
  <c r="H41" i="14"/>
  <c r="I41" i="14"/>
  <c r="J41" i="14"/>
  <c r="K41" i="14"/>
  <c r="B41" i="14"/>
  <c r="H62" i="1" l="1"/>
  <c r="C58" i="1" l="1"/>
  <c r="M58" i="1" s="1"/>
  <c r="L63" i="1"/>
  <c r="K63" i="1"/>
  <c r="J63" i="1"/>
  <c r="I63" i="1"/>
  <c r="H63" i="1"/>
  <c r="F63" i="1"/>
  <c r="E63" i="1"/>
  <c r="D63" i="1"/>
  <c r="C63" i="1"/>
  <c r="L62" i="1"/>
  <c r="K62" i="1"/>
  <c r="J62" i="1"/>
  <c r="I62" i="1"/>
  <c r="G62" i="1"/>
  <c r="F62" i="1"/>
  <c r="E62" i="1"/>
  <c r="D62" i="1"/>
  <c r="C62" i="1"/>
  <c r="M63" i="1" l="1"/>
  <c r="M6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<sst xmlns="http://schemas.openxmlformats.org/spreadsheetml/2006/main" count="3390" uniqueCount="773">
  <si>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</si>
  <si>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</si>
  <si>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</si>
  <si>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</si>
  <si>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</si>
  <si>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</si>
  <si>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</si>
  <si>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</si>
  <si>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</si>
  <si>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</si>
  <si>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</si>
  <si>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</si>
  <si>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</si>
  <si>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</si>
  <si>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</si>
  <si>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</si>
  <si>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</si>
  <si>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Water</t>
  </si>
  <si>
    <t>Hydro - Gravity</t>
  </si>
  <si>
    <t>Bayswater</t>
  </si>
  <si>
    <t>AGL Energy</t>
  </si>
  <si>
    <t>4 x 660</t>
  </si>
  <si>
    <t>Steam Sub Critical</t>
  </si>
  <si>
    <t>Black Coal</t>
  </si>
  <si>
    <t>NSW</t>
  </si>
  <si>
    <t>Blowering</t>
  </si>
  <si>
    <t>Snowy Hydro Ltd</t>
  </si>
  <si>
    <t>1 x 80</t>
  </si>
  <si>
    <t>Boco Rock Wind Farm</t>
  </si>
  <si>
    <t>Electricity Generating Public Company Limited</t>
  </si>
  <si>
    <t>9 x 1.6
58 x 1.7</t>
  </si>
  <si>
    <t>AGL</t>
  </si>
  <si>
    <t>Coal Seam Methane</t>
  </si>
  <si>
    <t>Broken Hill Solar Plant</t>
  </si>
  <si>
    <t>PARF Company 6 Pty Limited</t>
  </si>
  <si>
    <t>40 x 1.325</t>
  </si>
  <si>
    <t>PV panels</t>
  </si>
  <si>
    <t>Solar</t>
  </si>
  <si>
    <t>PV-Tracking Flat panel</t>
  </si>
  <si>
    <t>Colongra</t>
  </si>
  <si>
    <t>4 x 181</t>
  </si>
  <si>
    <t>CCGT</t>
  </si>
  <si>
    <t>Eraring</t>
  </si>
  <si>
    <t>Origin Energy Eraring Pty Ltd</t>
  </si>
  <si>
    <t>4 x 720</t>
  </si>
  <si>
    <t>Gullen Range Solar Farm</t>
  </si>
  <si>
    <t>New Gullen Range Wind Farm Pty Ltd</t>
  </si>
  <si>
    <t>4 x 2.5</t>
  </si>
  <si>
    <t>Gunning Wind Energy Developments</t>
  </si>
  <si>
    <t>31 x 1.5</t>
  </si>
  <si>
    <t>Guthega</t>
  </si>
  <si>
    <t>2 x 30</t>
  </si>
  <si>
    <t>EnergyAustralia</t>
  </si>
  <si>
    <t>Pump Storage</t>
  </si>
  <si>
    <t>Hume NSW</t>
  </si>
  <si>
    <t>GSP Energy Pty Ltd</t>
  </si>
  <si>
    <t>1 x 29</t>
  </si>
  <si>
    <t>Hunter Valley GT</t>
  </si>
  <si>
    <t>2 x 25</t>
  </si>
  <si>
    <t>Liddell</t>
  </si>
  <si>
    <t>4 x 500</t>
  </si>
  <si>
    <t>Announced Withdrawal</t>
  </si>
  <si>
    <t>Manildra Photovoltaic Solar Farm</t>
  </si>
  <si>
    <t>Manildra Prop Pty Ltd as trustee for the Manildra Asset Trust</t>
  </si>
  <si>
    <t>20 x 2.5</t>
  </si>
  <si>
    <t>Moree Solar Farm</t>
  </si>
  <si>
    <t>Moree Solar Farm Pty Ltd</t>
  </si>
  <si>
    <t>56 x 1</t>
  </si>
  <si>
    <t>Mt Piper</t>
  </si>
  <si>
    <t>2 x 660</t>
  </si>
  <si>
    <t>77 x 1.325</t>
  </si>
  <si>
    <t>Parkes Solar Farm</t>
  </si>
  <si>
    <t>Parkes Solar Farm Pty Ltd</t>
  </si>
  <si>
    <t>Sapphire Wind Farm</t>
  </si>
  <si>
    <t>SWF Nominees Pty Ltd as Trustee for SWF Asset Trust</t>
  </si>
  <si>
    <t>75 x 3.6</t>
  </si>
  <si>
    <t>Shoalhaven</t>
  </si>
  <si>
    <t>2 x 40
2 x 80</t>
  </si>
  <si>
    <t>Silverton Wind Farm</t>
  </si>
  <si>
    <t>PARF Company 8 Pty Ltd as trustee for the Silverton Project Trust</t>
  </si>
  <si>
    <t>58 x 3.43</t>
  </si>
  <si>
    <t>Smithfield Energy Facility</t>
  </si>
  <si>
    <t>Visy Power Generation</t>
  </si>
  <si>
    <t>3 x 36.3
1 x 62</t>
  </si>
  <si>
    <t>Tallawarra</t>
  </si>
  <si>
    <t>1 x 435</t>
  </si>
  <si>
    <t>Energy Pacific Vic Pty Ltd</t>
  </si>
  <si>
    <t>9 x 3
21 x 1.8
21 x 2</t>
  </si>
  <si>
    <t>Ratch Australia</t>
  </si>
  <si>
    <t>Tumut 3</t>
  </si>
  <si>
    <t>6 x 250</t>
  </si>
  <si>
    <t>Upper Tumut</t>
  </si>
  <si>
    <t>4 x 72
4 x 82</t>
  </si>
  <si>
    <t>Uranquinty</t>
  </si>
  <si>
    <t>Origin Energy Uranquinty Power Pty Ltd</t>
  </si>
  <si>
    <t>4 x 166</t>
  </si>
  <si>
    <t>Vales Point B</t>
  </si>
  <si>
    <t>Delta Electricity</t>
  </si>
  <si>
    <t>White Rock Wind Farm Pty Ltd</t>
  </si>
  <si>
    <t>Woodlawn Wind Farm</t>
  </si>
  <si>
    <t>Woodlawn Wind Pty Ltd</t>
  </si>
  <si>
    <t>23 x 2.1</t>
  </si>
  <si>
    <t>Total</t>
  </si>
  <si>
    <t>1</t>
  </si>
  <si>
    <t>0</t>
  </si>
  <si>
    <t>Beryl Solar Farm</t>
  </si>
  <si>
    <t>Inverters 1-60</t>
  </si>
  <si>
    <t>Bodangora Wind Farm</t>
  </si>
  <si>
    <t>Units 1-33</t>
  </si>
  <si>
    <t>Coleambally Solar Farm</t>
  </si>
  <si>
    <t>1-90</t>
  </si>
  <si>
    <t>Crookwell 2 Wind Farm</t>
  </si>
  <si>
    <t>Units 1-28</t>
  </si>
  <si>
    <t>5</t>
  </si>
  <si>
    <t>12</t>
  </si>
  <si>
    <t>10</t>
  </si>
  <si>
    <t>8</t>
  </si>
  <si>
    <t>32</t>
  </si>
  <si>
    <t>Solar Panels</t>
  </si>
  <si>
    <t>Kangaroo Valley 5</t>
  </si>
  <si>
    <t>1-37</t>
  </si>
  <si>
    <t>Station</t>
  </si>
  <si>
    <t>Existing non-scheduled generation</t>
  </si>
  <si>
    <t>Nameplate Capacity (MW)</t>
  </si>
  <si>
    <t>101 Miller Street</t>
  </si>
  <si>
    <t>Cogent Energy Pty Ltd</t>
  </si>
  <si>
    <t>In service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</si>
  <si>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</si>
  <si>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</si>
  <si>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</si>
  <si>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</si>
  <si>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</si>
  <si>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</si>
  <si>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</si>
  <si>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</si>
  <si>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</si>
  <si>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</si>
  <si>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</si>
  <si>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LMS ENERGY Pty Ltd</t>
  </si>
  <si>
    <t>Bankstown Sports Club</t>
  </si>
  <si>
    <t>Belconnen</t>
  </si>
  <si>
    <t>EDL LFG ACT Pty Ltd</t>
  </si>
  <si>
    <t>Belrose</t>
  </si>
  <si>
    <t>EDL LFG NSW Pty Ltd</t>
  </si>
  <si>
    <t>Blackmores</t>
  </si>
  <si>
    <t>Blayney</t>
  </si>
  <si>
    <t>Blaney and Crookwell WindFarm Pty Ltd</t>
  </si>
  <si>
    <t>Broadwater and Condong Co-generation plants</t>
  </si>
  <si>
    <t>Cape Byron Management</t>
  </si>
  <si>
    <t>Bagasse</t>
  </si>
  <si>
    <t>Broken Hill GT</t>
  </si>
  <si>
    <t>Essential Energy</t>
  </si>
  <si>
    <t>Burrendong</t>
  </si>
  <si>
    <t>Burrinjuck</t>
  </si>
  <si>
    <t>Green State Power Pty Ltd</t>
  </si>
  <si>
    <t>Capital East Solar Farm P1</t>
  </si>
  <si>
    <t>Capital East Solar Pty Ltd</t>
  </si>
  <si>
    <t>Capital Wind Farm</t>
  </si>
  <si>
    <t>Renewable Power Ventures Pty Ltd</t>
  </si>
  <si>
    <t>Charlestown Square Cogeneration</t>
  </si>
  <si>
    <t>GPT RE Limited</t>
  </si>
  <si>
    <t>Condong</t>
  </si>
  <si>
    <t>Cape Byron Power</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</si>
  <si>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</si>
  <si>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</si>
  <si>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</si>
  <si>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</si>
  <si>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</si>
  <si>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</si>
  <si>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</si>
  <si>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</si>
  <si>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Pacific Hydro Investments Pty Ltd</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</si>
  <si>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</si>
  <si>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</si>
  <si>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</si>
  <si>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</si>
  <si>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</si>
  <si>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</si>
  <si>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</si>
  <si>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</si>
  <si>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</si>
  <si>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</si>
  <si>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</si>
  <si>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</si>
  <si>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</si>
  <si>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</si>
  <si>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</si>
  <si>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Mount Majura Solar Holdings Pty Ltd</t>
  </si>
  <si>
    <t>Mugga Lane</t>
  </si>
  <si>
    <t>Mugga Lane Solar Park</t>
  </si>
  <si>
    <t>Mugga Lane Solar Park Pty Ltd</t>
  </si>
  <si>
    <t>Narromine Solar Farm</t>
  </si>
  <si>
    <t>Dubbo Solar Hub Pty Ltd</t>
  </si>
  <si>
    <t>Nine Network Willoughby</t>
  </si>
  <si>
    <t>Nine Network</t>
  </si>
  <si>
    <t>Pindari</t>
  </si>
  <si>
    <t>Royalla Solar Farm</t>
  </si>
  <si>
    <t>Royalla Asset Pty Ltd ATF Royalla Asset Trust</t>
  </si>
  <si>
    <t>South Keswick Solar Farm</t>
  </si>
  <si>
    <t>St George Leagues Club</t>
  </si>
  <si>
    <t>Summer Hill</t>
  </si>
  <si>
    <t>Tahmoor</t>
  </si>
  <si>
    <t>EDL TT Pty Ltd</t>
  </si>
  <si>
    <t>Teralba</t>
  </si>
  <si>
    <t>Envirogen Pty Ltd</t>
  </si>
  <si>
    <t>The Drop</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</si>
  <si>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</si>
  <si>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</si>
  <si>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</si>
  <si>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</si>
  <si>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</si>
  <si>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</si>
  <si>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</si>
  <si>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</si>
  <si>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</si>
  <si>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</si>
  <si>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</si>
  <si>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</si>
  <si>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</si>
  <si>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</si>
  <si>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</si>
  <si>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</si>
  <si>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</si>
  <si>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</si>
  <si>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</si>
  <si>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Projects under development</t>
  </si>
  <si>
    <t>Project</t>
  </si>
  <si>
    <t>Unit ID</t>
  </si>
  <si>
    <t>Unit Status</t>
  </si>
  <si>
    <t>Full Commercial Use Date</t>
  </si>
  <si>
    <t>TBA</t>
  </si>
  <si>
    <t>No</t>
  </si>
  <si>
    <t>Yes</t>
  </si>
  <si>
    <t>NS</t>
  </si>
  <si>
    <t>144</t>
  </si>
  <si>
    <t>1-31</t>
  </si>
  <si>
    <t>Generation capacity in the NEM</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</si>
  <si>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</si>
  <si>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</si>
  <si>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</si>
  <si>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</si>
  <si>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</si>
  <si>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</si>
  <si>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</si>
  <si>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</si>
  <si>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</si>
  <si>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</si>
  <si>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</si>
  <si>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</si>
  <si>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</si>
  <si>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</si>
  <si>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</si>
  <si>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</si>
  <si>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</si>
  <si>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</si>
  <si>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</si>
  <si>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</si>
  <si>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</si>
  <si>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Bango Wind Farm</t>
  </si>
  <si>
    <t>Bango Wind Farm Pty Ltd</t>
  </si>
  <si>
    <t>up to 70</t>
  </si>
  <si>
    <t>280</t>
  </si>
  <si>
    <t>FS NSW Project No 1 AT Pty Ltd as trustee of FS NSW Project No 1 Asset Trust</t>
  </si>
  <si>
    <t>98.4</t>
  </si>
  <si>
    <t>Biala Wind Farm</t>
  </si>
  <si>
    <t>BJCE Australia</t>
  </si>
  <si>
    <t>1 - 31</t>
  </si>
  <si>
    <t>108.5</t>
  </si>
  <si>
    <t>Oct 2019</t>
  </si>
  <si>
    <t>BluesScope Cogeneration Plant</t>
  </si>
  <si>
    <t>BlueScope</t>
  </si>
  <si>
    <t>225</t>
  </si>
  <si>
    <t>Bodangora Wind Farm Pty Ltd</t>
  </si>
  <si>
    <t>113.19</t>
  </si>
  <si>
    <t>Bogan River</t>
  </si>
  <si>
    <t>Infigen Energy</t>
  </si>
  <si>
    <t>Bomen Solar Farm</t>
  </si>
  <si>
    <t>Renew Estate</t>
  </si>
  <si>
    <t>120</t>
  </si>
  <si>
    <t>Brewongle Solar Farm</t>
  </si>
  <si>
    <t>Photon Energy</t>
  </si>
  <si>
    <t>TSM-330DD14AII</t>
  </si>
  <si>
    <t>Emerging</t>
  </si>
  <si>
    <t>112</t>
  </si>
  <si>
    <t>Brocklehurst Solar Farm</t>
  </si>
  <si>
    <t>29</t>
  </si>
  <si>
    <t>Vena Energy</t>
  </si>
  <si>
    <t>Units 1 to n</t>
  </si>
  <si>
    <t>150</t>
  </si>
  <si>
    <t>Capital 2 Wind Farm</t>
  </si>
  <si>
    <t>100</t>
  </si>
  <si>
    <t>Oct 2020</t>
  </si>
  <si>
    <t>Capital Solar Farm</t>
  </si>
  <si>
    <t>Capital Solar Farm Pty Ltd</t>
  </si>
  <si>
    <t>Inverters 1 - 34</t>
  </si>
  <si>
    <t>50</t>
  </si>
  <si>
    <t>Carrick Solar Farm</t>
  </si>
  <si>
    <t>LR6-72HV 345</t>
  </si>
  <si>
    <t>Chipping Norton Waste to Energy</t>
  </si>
  <si>
    <t>Benedict Indistries P/L</t>
  </si>
  <si>
    <t>Waste to Energy</t>
  </si>
  <si>
    <t>Biomass recycled municipal and industrial materials</t>
  </si>
  <si>
    <t>Neoen</t>
  </si>
  <si>
    <t>180</t>
  </si>
  <si>
    <t>Oct 2018</t>
  </si>
  <si>
    <t>Collector</t>
  </si>
  <si>
    <t>189</t>
  </si>
  <si>
    <t>Sep 2020</t>
  </si>
  <si>
    <t>Corowa Solar Farm</t>
  </si>
  <si>
    <t>Corowa Operationsco Pty Ltd as trustee for Corowa Operations Trust</t>
  </si>
  <si>
    <t>Units 1-6
Units 7-8</t>
  </si>
  <si>
    <t>Crookwell Development Pty Ltd</t>
  </si>
  <si>
    <t>91</t>
  </si>
  <si>
    <t>Crookwell 3 Wind Farm</t>
  </si>
  <si>
    <t>Units 1-23</t>
  </si>
  <si>
    <t>88.09</t>
  </si>
  <si>
    <t>Crudine Ridge Wind Farm</t>
  </si>
  <si>
    <t>CRWF Nominees Pty Ltd</t>
  </si>
  <si>
    <t>135</t>
  </si>
  <si>
    <t>Currawarra Solar Farm</t>
  </si>
  <si>
    <t>RES Australia Pty Ltd</t>
  </si>
  <si>
    <t>195</t>
  </si>
  <si>
    <t>Darlington Point Solar Farm</t>
  </si>
  <si>
    <t>275</t>
  </si>
  <si>
    <t>Dunedoo Solar Farm</t>
  </si>
  <si>
    <t>ib vogt GmbH</t>
  </si>
  <si>
    <t>66</t>
  </si>
  <si>
    <t>Flyers Creek Wind Farm</t>
  </si>
  <si>
    <t>Units 1-42</t>
  </si>
  <si>
    <t>Jul 2020</t>
  </si>
  <si>
    <t>Gilgandra Solar Farm</t>
  </si>
  <si>
    <t>40</t>
  </si>
  <si>
    <t>Glen Innes Wind Farm</t>
  </si>
  <si>
    <t>Glen Innes WindPower Pty Ltd</t>
  </si>
  <si>
    <t>Units 1-25</t>
  </si>
  <si>
    <t>90</t>
  </si>
  <si>
    <t>Gloucester Gas Project</t>
  </si>
  <si>
    <t>15</t>
  </si>
  <si>
    <t>Goonumbla Solar Farm</t>
  </si>
  <si>
    <t>Goonumbla Solar Farm Pty Ltd</t>
  </si>
  <si>
    <t>70</t>
  </si>
  <si>
    <t>Dec 2017</t>
  </si>
  <si>
    <t>Granite Hills Wind Farm</t>
  </si>
  <si>
    <t>Akuo Energy</t>
  </si>
  <si>
    <t>121</t>
  </si>
  <si>
    <t>Gunnedah Solar Farm</t>
  </si>
  <si>
    <t>CS3U-380MS</t>
  </si>
  <si>
    <t>115</t>
  </si>
  <si>
    <t>Gunning Solar Farm</t>
  </si>
  <si>
    <t>300</t>
  </si>
  <si>
    <t>Hay Sun Farm</t>
  </si>
  <si>
    <t>Overland Sun Farming Pty Ltd</t>
  </si>
  <si>
    <t>110</t>
  </si>
  <si>
    <t>Hillston</t>
  </si>
  <si>
    <t>85</t>
  </si>
  <si>
    <t>Jemalong Solar</t>
  </si>
  <si>
    <t>Vast Solar</t>
  </si>
  <si>
    <t>Junee Solar Farm</t>
  </si>
  <si>
    <t>Junee Operationsco Pty Ltd as trustee for Junee Operations Trust</t>
  </si>
  <si>
    <t>Jupiter Wind Farm</t>
  </si>
  <si>
    <t>EPYC Pty Ltd</t>
  </si>
  <si>
    <t>1-88</t>
  </si>
  <si>
    <t>350</t>
  </si>
  <si>
    <t>Liverpool Range Wind Farm</t>
  </si>
  <si>
    <t>EPURON Pty Ltd</t>
  </si>
  <si>
    <t>Units 1-267</t>
  </si>
  <si>
    <t>1000</t>
  </si>
  <si>
    <t>Marulan - OCGT/CCGT</t>
  </si>
  <si>
    <t>Maryvale Solar Farm</t>
  </si>
  <si>
    <t>LR6-72HV 345Wp</t>
  </si>
  <si>
    <t>Metz Solar Farm</t>
  </si>
  <si>
    <t>Moama Solar Farm</t>
  </si>
  <si>
    <t>Moama Operationsco Pty Ltd as trustee for Moama Operations Trust</t>
  </si>
  <si>
    <t>Molong Solar Farm</t>
  </si>
  <si>
    <t>Terrain Solar</t>
  </si>
  <si>
    <t>25</t>
  </si>
  <si>
    <t>Mumbil Solar Farm</t>
  </si>
  <si>
    <t>Newcastle Gas Peaker</t>
  </si>
  <si>
    <t>AGL Energy Limited</t>
  </si>
  <si>
    <t>250</t>
  </si>
  <si>
    <t>Dec 2022</t>
  </si>
  <si>
    <t>NSW Energy Cluster</t>
  </si>
  <si>
    <t>Alinta Energy Retail Sales Pty Ltd</t>
  </si>
  <si>
    <t>500</t>
  </si>
  <si>
    <t>Nov 2020</t>
  </si>
  <si>
    <t>NSW Gas Peaker</t>
  </si>
  <si>
    <t>Orange Grove Sun Farm</t>
  </si>
  <si>
    <t>80</t>
  </si>
  <si>
    <t>Paling Yards Wind Farm</t>
  </si>
  <si>
    <t>Global Power Generation Australia Pty Ltd</t>
  </si>
  <si>
    <t>Units 1-55</t>
  </si>
  <si>
    <t>231</t>
  </si>
  <si>
    <t>Photon Energy Leeton</t>
  </si>
  <si>
    <t>Maturing</t>
  </si>
  <si>
    <t>22</t>
  </si>
  <si>
    <t>Rye Park Wind Farm</t>
  </si>
  <si>
    <t>Tilt Renewables Australia</t>
  </si>
  <si>
    <t>1- 109</t>
  </si>
  <si>
    <t>327</t>
  </si>
  <si>
    <t>Apr 2021</t>
  </si>
  <si>
    <t>Sandigo Solar Farm</t>
  </si>
  <si>
    <t>ESCO Pacific</t>
  </si>
  <si>
    <t>Shoalhaven Expansion (expansion)</t>
  </si>
  <si>
    <t>Origin Energy</t>
  </si>
  <si>
    <t>Snowy 2.0</t>
  </si>
  <si>
    <t>2000</t>
  </si>
  <si>
    <t>Springdale Solar Farm</t>
  </si>
  <si>
    <t>Sundown Solar Farm</t>
  </si>
  <si>
    <t>CWP Renewables Pty Ltd</t>
  </si>
  <si>
    <t>600</t>
  </si>
  <si>
    <t>Sunraysia Solar Farm</t>
  </si>
  <si>
    <t>Sunraysia Solar Project Pty Ltd</t>
  </si>
  <si>
    <t>200</t>
  </si>
  <si>
    <t>Suntop Solar Farm</t>
  </si>
  <si>
    <t>Photon Solar</t>
  </si>
  <si>
    <t>Tarleigh Park Solar Farm</t>
  </si>
  <si>
    <t>Tomago GT</t>
  </si>
  <si>
    <t>Tumut Pulp and Paper Mill</t>
  </si>
  <si>
    <t>Visy</t>
  </si>
  <si>
    <t>Biogas - other captured for combustion not methane</t>
  </si>
  <si>
    <t>Upper Hunter Energy Park Pty Ltd</t>
  </si>
  <si>
    <t>Units 1-31</t>
  </si>
  <si>
    <t>Uungula Wind Farm</t>
  </si>
  <si>
    <t>Uungula Wind Farm Pty Ltd</t>
  </si>
  <si>
    <t>1-249</t>
  </si>
  <si>
    <t>400 - 650</t>
  </si>
  <si>
    <t>Vales Point Solar</t>
  </si>
  <si>
    <t>Vales Point Solar 1</t>
  </si>
  <si>
    <t>55</t>
  </si>
  <si>
    <t>Jan 2020</t>
  </si>
  <si>
    <t>Wagga North Solar Farm</t>
  </si>
  <si>
    <t>Wagga Wagga Operationsco Pty Ltd as trustree for Wagga Wagga Operations Trust</t>
  </si>
  <si>
    <t>1-10
11-12</t>
  </si>
  <si>
    <t>Wee Waa Solar Farm</t>
  </si>
  <si>
    <t>Overland Sun Farming</t>
  </si>
  <si>
    <t>Wellington North Solar Farm</t>
  </si>
  <si>
    <t>Wellington Solar Farm</t>
  </si>
  <si>
    <t>First Solar Australia Pty Ltd</t>
  </si>
  <si>
    <t>Inverter 1 to 132</t>
  </si>
  <si>
    <t>216</t>
  </si>
  <si>
    <t>West Narrabi Electricity Generating Facility</t>
  </si>
  <si>
    <t>Power Generation Partners</t>
  </si>
  <si>
    <t>Woolbrook Wind Farm</t>
  </si>
  <si>
    <t>Newtricity</t>
  </si>
  <si>
    <t>Yarrabee Solar Power Project</t>
  </si>
  <si>
    <t>Reach Solar Energy Management Co</t>
  </si>
  <si>
    <t>Yarrabee Solar</t>
  </si>
  <si>
    <t>Feb 2021</t>
  </si>
  <si>
    <t>Yass Valley Wind Farm</t>
  </si>
  <si>
    <t>Goldwind</t>
  </si>
  <si>
    <t>Wind turbines 1-79</t>
  </si>
  <si>
    <t>Bindaree Beef Biodigestor Pant</t>
  </si>
  <si>
    <t>Yolarno</t>
  </si>
  <si>
    <t>CRS Canberra</t>
  </si>
  <si>
    <t>Benedict Industries PL</t>
  </si>
  <si>
    <t>Finley Solar Project</t>
  </si>
  <si>
    <t>Goulburn Bioenergy</t>
  </si>
  <si>
    <t>ReNu Energy Limited</t>
  </si>
  <si>
    <t>1.6</t>
  </si>
  <si>
    <t>Moorambilla Solar Farm</t>
  </si>
  <si>
    <t>Moorambilla Solar Pty Ltd</t>
  </si>
  <si>
    <t>Narrabri South Solar Farm</t>
  </si>
  <si>
    <t>Canadian Solar</t>
  </si>
  <si>
    <t>60</t>
  </si>
  <si>
    <t>Summerhill Solar Farm</t>
  </si>
  <si>
    <t>Newcastle Council</t>
  </si>
  <si>
    <t>Upper Hunter Energy Park - Solar</t>
  </si>
  <si>
    <t>Upper Hunter Energy Park - Wind</t>
  </si>
  <si>
    <t>http://www.aemo.com.au/Electricity/National-Electricity-Market-NEM/Planning-and-forecasting/Generation-information</t>
  </si>
  <si>
    <t>Please read the full disclaimer at:</t>
  </si>
  <si>
    <t>Data presented is current as at 1 July 2018</t>
  </si>
  <si>
    <t>Changes since last update</t>
  </si>
  <si>
    <t>None to report.</t>
  </si>
  <si>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</si>
  <si>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</si>
  <si>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</si>
  <si>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</si>
  <si>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</si>
  <si>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</si>
  <si>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</si>
  <si>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</si>
  <si>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</si>
  <si>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</si>
  <si>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</si>
  <si>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</si>
  <si>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</si>
  <si>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</si>
  <si>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</si>
  <si>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</si>
  <si>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</si>
  <si>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</si>
  <si>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</si>
  <si>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</si>
  <si>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</si>
  <si>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</si>
  <si>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</si>
  <si>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</si>
  <si>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</si>
  <si>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</si>
  <si>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</si>
  <si>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</si>
  <si>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</si>
  <si>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</si>
  <si>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</si>
  <si>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</si>
  <si>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</si>
  <si>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</si>
  <si>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</si>
  <si>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</si>
  <si>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</si>
  <si>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</si>
  <si>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</si>
  <si>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</si>
  <si>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</si>
  <si>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</si>
  <si>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</si>
  <si>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</si>
  <si>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</si>
  <si>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</si>
  <si>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</si>
  <si>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</si>
  <si>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</si>
  <si>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</si>
  <si>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</si>
  <si>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</si>
  <si>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</si>
  <si>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</si>
  <si>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</si>
  <si>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</si>
  <si>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</si>
  <si>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</si>
  <si>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</si>
  <si>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</si>
  <si>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</si>
  <si>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</si>
  <si>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</si>
  <si>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</si>
  <si>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</si>
  <si>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</si>
  <si>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</si>
  <si>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</si>
  <si>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</si>
  <si>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</si>
  <si>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r>
      <rPr>
        <b/>
        <sz val="9"/>
        <rFont val="Arial"/>
        <family val="2"/>
      </rPr>
      <t>Sapphire Wind Farm Phase 1 and 2:</t>
    </r>
    <r>
      <rPr>
        <sz val="9"/>
        <rFont val="Arial"/>
        <family val="2"/>
      </rPr>
      <t xml:space="preserve"> Sapphire Wind Farm Pty Ltd advises that Sapphire Wind Farm Phase 1 and 2 (270 MW) is now committed.</t>
    </r>
  </si>
  <si>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</si>
  <si>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t xml:space="preserve">Crookwell 2 Wind Farm: </t>
    </r>
    <r>
      <rPr>
        <sz val="9"/>
        <rFont val="Arial"/>
        <family val="2"/>
      </rPr>
      <t>Crookwell 2 Wind Farm (91 MW) is reported as committed as Crookwell Development Pty Ltd has advised construction has commenced.</t>
    </r>
  </si>
  <si>
    <r>
      <t xml:space="preserve">Bayswater: </t>
    </r>
    <r>
      <rPr>
        <sz val="9"/>
        <rFont val="Arial"/>
        <family val="2"/>
      </rPr>
      <t>AGL has advised Bayswater Power Station will increase capacity by 25 MW each Winter from 2019 to 2022</t>
    </r>
  </si>
  <si>
    <t>New South Wales</t>
  </si>
  <si>
    <t>New South Wales Summary</t>
  </si>
  <si>
    <t>New South Wales Change Log</t>
  </si>
  <si>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</si>
  <si>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</si>
  <si>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</si>
  <si>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</si>
  <si>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</si>
  <si>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</si>
  <si>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</si>
  <si>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</si>
  <si>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</si>
  <si>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</si>
  <si>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</si>
  <si>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</si>
  <si>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</si>
  <si>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</si>
  <si>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</si>
  <si>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</si>
  <si>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</si>
  <si>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</si>
  <si>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</si>
  <si>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</si>
  <si>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</si>
  <si>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</si>
  <si>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</si>
  <si>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</si>
  <si>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</si>
  <si>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</si>
  <si>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</si>
  <si>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t>Lists all updates to new development projects and existing generation information since the 2012 ESOO.</t>
  </si>
  <si>
    <r>
      <rPr>
        <b/>
        <sz val="9"/>
        <rFont val="Arial"/>
        <family val="2"/>
      </rPr>
      <t>Beryl Solar Farm:</t>
    </r>
    <r>
      <rPr>
        <sz val="9"/>
        <rFont val="Arial"/>
        <family val="2"/>
      </rPr>
      <t xml:space="preserve"> FS NSW Project No 1 AT Pty Ltd advises that Beryl Solar Farm (98.4 MW) is now a committed project.</t>
    </r>
  </si>
  <si>
    <r>
      <rPr>
        <b/>
        <sz val="9"/>
        <rFont val="Arial"/>
        <family val="2"/>
      </rPr>
      <t>Coleambally Solar Farm:</t>
    </r>
    <r>
      <rPr>
        <sz val="9"/>
        <rFont val="Arial"/>
        <family val="2"/>
      </rPr>
      <t xml:space="preserve"> Coleambally Solar Farm (180 MW) is now reported as committed since Neoen advises that it has commenced construction.</t>
    </r>
  </si>
  <si>
    <r>
      <rPr>
        <b/>
        <sz val="9"/>
        <rFont val="Arial"/>
        <family val="2"/>
      </rPr>
      <t>Crudine Ridge Wind Farm:</t>
    </r>
    <r>
      <rPr>
        <sz val="9"/>
        <rFont val="Arial"/>
        <family val="2"/>
      </rPr>
      <t xml:space="preserve"> Crudine Ridge Wind Farm (135 MW) is now reported as committed since CRWF Nominees Pty Ltd advises that it has commenced construction.</t>
    </r>
  </si>
  <si>
    <t>133 Castlereagh St</t>
  </si>
  <si>
    <t>Bakers Maison</t>
  </si>
  <si>
    <t>PV Panels</t>
  </si>
  <si>
    <t>Brown Mountain Hydro Power Station</t>
  </si>
  <si>
    <t>Cochrane Dam Pty Ltd</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</si>
  <si>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</si>
  <si>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</si>
  <si>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</si>
  <si>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</si>
  <si>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</si>
  <si>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</si>
  <si>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</si>
  <si>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</si>
  <si>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</si>
  <si>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</si>
  <si>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</si>
  <si>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</si>
  <si>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</si>
  <si>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</si>
  <si>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</si>
  <si>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</si>
  <si>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</si>
  <si>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</si>
  <si>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</si>
  <si>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Summer aggregate available scheduled and semi-scheduled generation</t>
  </si>
  <si>
    <t>PowerStation</t>
  </si>
  <si>
    <t>DispatchType</t>
  </si>
  <si>
    <t>FuelType</t>
  </si>
  <si>
    <t>Season</t>
  </si>
  <si>
    <t>Fossil</t>
  </si>
  <si>
    <t>summer</t>
  </si>
  <si>
    <t>Hydro</t>
  </si>
  <si>
    <t>Gullen Range Wind Farm</t>
  </si>
  <si>
    <t>Shoalhaven Expansion</t>
  </si>
  <si>
    <t>The table above lists the latest Summer capacities for New South Wales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</si>
  <si>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6.7% of the installed capacity during summer, and 3.7%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</si>
  <si>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</si>
  <si>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</si>
  <si>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</si>
  <si>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</si>
  <si>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</si>
  <si>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Summer aggregate available semi-scheduled generation</t>
  </si>
  <si>
    <t>NA</t>
  </si>
  <si>
    <t>Winter aggregate available scheduled and semi-scheduled generation</t>
  </si>
  <si>
    <t>2019</t>
  </si>
  <si>
    <t>2020</t>
  </si>
  <si>
    <t>2021</t>
  </si>
  <si>
    <t>2022</t>
  </si>
  <si>
    <t>2023</t>
  </si>
  <si>
    <t>2024</t>
  </si>
  <si>
    <t>2025</t>
  </si>
  <si>
    <t>2026</t>
  </si>
  <si>
    <t>2027</t>
  </si>
  <si>
    <t>2028</t>
  </si>
  <si>
    <t>winter</t>
  </si>
  <si>
    <t>The table above lists the latest Winter capacities for New South Wales generation. Winter conditions relate to statistically predicted contribution under 10% POE maximum demand conditions.</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</si>
  <si>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</si>
  <si>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</si>
  <si>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</si>
  <si>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</si>
  <si>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Total (Wind)</t>
  </si>
  <si>
    <t>Total (Solar)</t>
  </si>
  <si>
    <t>Beryl/Gulgong Solar Project</t>
  </si>
  <si>
    <t>Units 1 - n</t>
  </si>
  <si>
    <t>Gidginbung</t>
  </si>
  <si>
    <t>Epho</t>
  </si>
  <si>
    <t>Gregadoo Solar Farm</t>
  </si>
  <si>
    <t>Gregadoo Solar Farm Pty Ltd</t>
  </si>
  <si>
    <t>Hunter EconomicZone</t>
  </si>
  <si>
    <t>1-16</t>
  </si>
  <si>
    <t>28.8</t>
  </si>
  <si>
    <t>Limondale</t>
  </si>
  <si>
    <t>Riverina Solar Farm</t>
  </si>
  <si>
    <t>Riverina Solar farm Pty Ltd</t>
  </si>
  <si>
    <t>STP315 - 24/Vem</t>
  </si>
  <si>
    <t>29.9</t>
  </si>
  <si>
    <t>Wagga Wagga Solar Project</t>
  </si>
  <si>
    <t>Coppabella Wind Farm</t>
  </si>
  <si>
    <t>285</t>
  </si>
  <si>
    <t>Nevertire Solar Farm</t>
  </si>
  <si>
    <t>105</t>
  </si>
  <si>
    <t>LR6-72HV 345Wp Custom parameters</t>
  </si>
  <si>
    <t>Walgett Solar Farm</t>
  </si>
  <si>
    <t>White Rock Solar Farm</t>
  </si>
  <si>
    <t>White Rock Wind Farm - Stage 1</t>
  </si>
  <si>
    <t>Spark Ignition  Reciprocating Engine</t>
  </si>
  <si>
    <t>8 x 2.5</t>
  </si>
  <si>
    <t>70 x 2.5</t>
  </si>
  <si>
    <t>Eastern Creek Energy from Waste Facility</t>
  </si>
  <si>
    <t>Next Generation NSW</t>
  </si>
  <si>
    <t>69</t>
  </si>
  <si>
    <t>White Rock Wind Farm - Stage 2</t>
  </si>
  <si>
    <t>Stage 2 uncommitted 71-119</t>
  </si>
  <si>
    <t>174.93</t>
  </si>
  <si>
    <t>Source</t>
  </si>
  <si>
    <t>http://bialawindfarm.com</t>
  </si>
  <si>
    <t>https://www.infigenenergy.com/our-business/development-pipeline/solar-energy-projects/</t>
  </si>
  <si>
    <t>https://www.infigenenergy.com/about-us/news/infigen-welcomes-project-approval-for-proposed-capital-2-wind-farm/</t>
  </si>
  <si>
    <t>https://www.terrainsolar.com/corowa</t>
  </si>
  <si>
    <t>https://www.crudineridgewindfarm.com.au/</t>
  </si>
  <si>
    <t>https://www.infigenenergy.com/our-business/development-pipeline/wind-energy-projects/</t>
  </si>
  <si>
    <t>http://gilgandrasolarfarm.com.au/</t>
  </si>
  <si>
    <t>http://www.vastsolar.com/portfolio-items/project-2/</t>
  </si>
  <si>
    <t>https://www.terrainsolar.com/junee</t>
  </si>
  <si>
    <t>http://epuron.com.au/wind/liverpool-range/</t>
  </si>
  <si>
    <t>https://www.terrainsolar.com/moama</t>
  </si>
  <si>
    <t>http://www.nswenergycluster.net/</t>
  </si>
  <si>
    <t>http://www.overlandsunfarming.com.au/orange-grove-sun-farm.html</t>
  </si>
  <si>
    <t>http://sunraysiasolarfarm.com.au/</t>
  </si>
  <si>
    <t>http://upperhunterenergypark.com.au/</t>
  </si>
  <si>
    <t>http://www.de.com.au/sustainability/projects/solar-project</t>
  </si>
  <si>
    <t>https://www.terrainsolar.com/wagga</t>
  </si>
  <si>
    <t>www.yarrabeesolar.com</t>
  </si>
  <si>
    <t xml:space="preserve">Crudine Ridge Wind Farm_x000D_
</t>
  </si>
  <si>
    <t>Winter 2019</t>
  </si>
  <si>
    <t>Summer 2018-19</t>
  </si>
  <si>
    <t>Winter 2018</t>
  </si>
  <si>
    <t xml:space="preserve">Summer 2019-20_x000D_
</t>
  </si>
  <si>
    <r>
      <t xml:space="preserve">Solar: </t>
    </r>
    <r>
      <rPr>
        <sz val="9"/>
        <rFont val="Arial"/>
        <family val="2"/>
      </rPr>
      <t>Beryl Solar Farm (98.4 MW),</t>
    </r>
    <r>
      <rPr>
        <b/>
        <sz val="9"/>
        <rFont val="Arial"/>
        <family val="2"/>
      </rPr>
      <t xml:space="preserve"> </t>
    </r>
    <r>
      <rPr>
        <sz val="9"/>
        <rFont val="Arial"/>
        <family val="2"/>
      </rPr>
      <t>Coleambally Solar Farm (180 MW)</t>
    </r>
  </si>
  <si>
    <r>
      <rPr>
        <b/>
        <sz val="9"/>
        <rFont val="Arial"/>
        <family val="2"/>
      </rPr>
      <t>Wind:</t>
    </r>
    <r>
      <rPr>
        <sz val="9"/>
        <rFont val="Arial"/>
        <family val="2"/>
      </rPr>
      <t xml:space="preserve"> Bodangora Wind Farm (113 MW), Crookwell 2 Wind Farm (91 MW), Crudine Ridge Wind Farm (135 MW).</t>
    </r>
  </si>
  <si>
    <t xml:space="preserve">Co-generation_x000D_
</t>
  </si>
  <si>
    <t>Natural Gas</t>
  </si>
  <si>
    <t xml:space="preserve"> </t>
  </si>
  <si>
    <t xml:space="preserve">Natural Gas / Diesel_x000D_
</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</si>
  <si>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</si>
  <si>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</si>
  <si>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Avonile Solar Farm</t>
  </si>
  <si>
    <t/>
  </si>
  <si>
    <t>http://www.avonlie-solarfarm.com/</t>
  </si>
  <si>
    <t>Hills of Gold Wind Farm</t>
  </si>
  <si>
    <t>Wind Energy Partners</t>
  </si>
  <si>
    <t>400</t>
  </si>
  <si>
    <t>https://www.hillsofgoldenergy.com/</t>
  </si>
  <si>
    <t>New England Solar Farm</t>
  </si>
  <si>
    <t>UPC Renewables</t>
  </si>
  <si>
    <t>800</t>
  </si>
  <si>
    <t>https://www.newenglandsolarfarm.com.au/</t>
  </si>
  <si>
    <t>Quorn Park Solar Farm</t>
  </si>
  <si>
    <t>Renewable Energy Developments</t>
  </si>
  <si>
    <t>160</t>
  </si>
  <si>
    <t>https://www.energy.nsw.gov.au/energy-consumers/energy-sources/electricity/electricity-generation</t>
  </si>
  <si>
    <t>Wollar Solar Farm</t>
  </si>
  <si>
    <t>Wollar Solar Development Pty Ltd</t>
  </si>
  <si>
    <t>https://www.wollarsolarfarm.com.au/</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</si>
  <si>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</si>
  <si>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</si>
  <si>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 xml:space="preserve">Black Coal_x000D_
</t>
  </si>
  <si>
    <t>Winter 2022</t>
  </si>
  <si>
    <t>Solar*</t>
  </si>
  <si>
    <t>* Solar excludes rooftop PV installations</t>
  </si>
  <si>
    <t>45</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</si>
  <si>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</si>
  <si>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</si>
  <si>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</si>
  <si>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</si>
  <si>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</si>
  <si>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</si>
  <si>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</si>
  <si>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</si>
  <si>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</si>
  <si>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</si>
  <si>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</si>
  <si>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</si>
  <si>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</si>
  <si>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</si>
  <si>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</si>
  <si>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</si>
  <si>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 xml:space="preserve">Coal, Diesel, CCGT, OCGT, Gas other, Water, Biomass, Geo-thermal, Other : </t>
    </r>
    <r>
      <rPr>
        <sz val="9"/>
        <rFont val="Arial"/>
        <family val="2"/>
      </rPr>
      <t>None to report.</t>
    </r>
  </si>
  <si>
    <r>
      <rPr>
        <b/>
        <sz val="9"/>
        <rFont val="Arial"/>
        <family val="2"/>
      </rPr>
      <t xml:space="preserve">Moree Solar Farm: </t>
    </r>
    <r>
      <rPr>
        <sz val="9"/>
        <rFont val="Arial"/>
        <family val="2"/>
      </rPr>
      <t>Moree Solar Farm advises that Moree Solar Farm (56 MW) is a committed project. Construction is to commence in July 2014 and commissioning is planned for February 2016.</t>
    </r>
  </si>
  <si>
    <r>
      <rPr>
        <b/>
        <sz val="9"/>
        <rFont val="Arial"/>
        <family val="2"/>
      </rPr>
      <t xml:space="preserve">Moree Solar Farm: </t>
    </r>
    <r>
      <rPr>
        <sz val="9"/>
        <rFont val="Arial"/>
        <family val="2"/>
      </rPr>
      <t>Moree Solar Farm advises that Moree Solar Farm (56 MW) is a committed project. Construction commenced in November 2014 and commissioning is planned for February 2016.</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</si>
  <si>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September 2014.</t>
    </r>
  </si>
  <si>
    <r>
      <rPr>
        <b/>
        <sz val="9"/>
        <rFont val="Arial"/>
        <family val="2"/>
      </rPr>
      <t xml:space="preserve">Nyngan Solar Plant: </t>
    </r>
    <r>
      <rPr>
        <sz val="9"/>
        <rFont val="Arial"/>
        <family val="2"/>
      </rPr>
      <t>AGL Energy Limited advises the Nyngan Solar Plant</t>
    </r>
    <r>
      <rPr>
        <b/>
        <sz val="10"/>
        <rFont val="Arial"/>
        <family val="2"/>
      </rPr>
      <t xml:space="preserve"> </t>
    </r>
    <r>
      <rPr>
        <sz val="10"/>
        <rFont val="Arial"/>
        <family val="2"/>
      </rPr>
      <t>(102 MW) has been completed and in full commercial operation since July 2015.</t>
    </r>
  </si>
  <si>
    <r>
      <rPr>
        <b/>
        <sz val="9"/>
        <rFont val="Arial"/>
        <family val="2"/>
      </rPr>
      <t xml:space="preserve">New Development: </t>
    </r>
    <r>
      <rPr>
        <sz val="9"/>
        <rFont val="Arial"/>
        <family val="2"/>
      </rPr>
      <t>Gullen Solar Project, Narromine Solar Farm, South Keswick Solar Farm, Boco Rock Wind Farm (expansion), Woodlawn Bioreactor Energy Generation (expansion).</t>
    </r>
  </si>
  <si>
    <t>1 x 50.5</t>
  </si>
  <si>
    <t>Unit Number and Nameplate Capacity (MW)</t>
  </si>
  <si>
    <t>Gunning Wind Farm</t>
  </si>
  <si>
    <t>Nyngan Solar Plant</t>
  </si>
  <si>
    <t>Taralga Wind Farm</t>
  </si>
  <si>
    <t>17 x 1.5
56 x 2.5</t>
  </si>
  <si>
    <t>Biofuel - other</t>
  </si>
  <si>
    <t>2018-19</t>
  </si>
  <si>
    <t>2019-20</t>
  </si>
  <si>
    <t>2020-21</t>
  </si>
  <si>
    <t>2021-22</t>
  </si>
  <si>
    <t>2022-23</t>
  </si>
  <si>
    <t>2023-24</t>
  </si>
  <si>
    <t>2024-25</t>
  </si>
  <si>
    <t>2025-26</t>
  </si>
  <si>
    <t>2026-27</t>
  </si>
  <si>
    <t>2027-28</t>
  </si>
  <si>
    <t>Crudine Ridge Wind Farm_x000D_</t>
  </si>
  <si>
    <t>Note: Updated “Background Information” with changes to categories of proposed generation in the 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</si>
</sst>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2">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name val="Arial"/>
      <family val="2"/>
    </font>
    <font>
      <sz val="9"/>
      <color theme="1"/>
      <name val="Arial"/>
      <family val="2"/>
    </font>
    <font>
      <b/>
      <sz val="9"/>
      <name val="Arial"/>
      <family val="2"/>
    </font>
    <font>
      <sz val="9"/>
      <name val="Arial"/>
      <family val="2"/>
    </font>
    <font>
      <b/>
      <sz val="9"/>
      <color rgb="FFF47321"/>
      <name val="Arial"/>
      <family val="2"/>
    </font>
    <font>
      <b/>
      <sz val="9"/>
      <color theme="1"/>
      <name val="Arial"/>
      <family val="2"/>
    </font>
    <font>
      <b/>
      <sz val="10"/>
      <color theme="1"/>
      <name val="Arial"/>
      <family val="2"/>
    </font>
    <font>
      <sz val="10"/>
      <color theme="1"/>
      <name val="Arial"/>
      <family val="2"/>
    </font>
    <font>
      <sz val="10"/>
      <name val="Arial"/>
      <family val="2"/>
    </font>
    <font>
      <b/>
      <sz val="8"/>
      <color theme="0"/>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1"/>
      <color theme="1"/>
      <name val="Arial"/>
      <family val="2"/>
    </font>
    <font>
      <sz val="11"/>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bottom style="thick">
        <color rgb="FFF9F8F6"/>
      </bottom>
      <diagonal/>
    </border>
    <border>
      <left style="medium">
        <color rgb="FFFFFFFF"/>
      </left>
      <right/>
      <top/>
      <bottom/>
      <diagonal/>
    </border>
    <border>
      <left style="medium">
        <color rgb="FFFFFFFF"/>
      </left>
      <right style="medium">
        <color rgb="FFFFFFFF"/>
      </right>
      <top/>
      <bottom/>
      <diagonal/>
    </border>
  </borders>
  <cellStyleXfs count="6">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30" fillId="0" borderId="0"/>
    <xf numFmtId="0" fontId="8" fillId="0" borderId="0"/>
    <xf numFmtId="43" fontId="8" fillId="0" borderId="0" applyFont="0" applyFill="0" applyBorder="0" applyAlignment="0" applyProtection="0"/>
  </cellStyleXfs>
  <cellXfs count="164">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3" fillId="6" borderId="9"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3" fillId="6" borderId="10"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0" fontId="4" fillId="8" borderId="10"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1" fontId="4" fillId="8" borderId="10" xfId="0" applyNumberFormat="1" applyFont="1" applyFill="1" applyBorder="1" applyAlignment="1">
      <alignment horizontal="center" vertical="center"/>
    </xf>
    <xf numFmtId="0" fontId="7" fillId="0" borderId="0" xfId="0" applyFont="1"/>
    <xf numFmtId="0" fontId="10" fillId="9" borderId="4" xfId="2" applyFont="1" applyFill="1" applyBorder="1"/>
    <xf numFmtId="0" fontId="0" fillId="9" borderId="0" xfId="0" applyFill="1"/>
    <xf numFmtId="0" fontId="11" fillId="9" borderId="0" xfId="0" applyFont="1" applyFill="1" applyBorder="1" applyAlignment="1">
      <alignment horizontal="left"/>
    </xf>
    <xf numFmtId="0" fontId="1" fillId="0" borderId="0" xfId="0" applyFont="1" applyBorder="1" applyAlignment="1">
      <alignment horizontal="left"/>
    </xf>
    <xf numFmtId="0" fontId="12" fillId="9" borderId="0" xfId="0" applyFont="1" applyFill="1" applyAlignment="1">
      <alignment horizontal="left" vertical="center"/>
    </xf>
    <xf numFmtId="0" fontId="13" fillId="9" borderId="0" xfId="0" applyFont="1" applyFill="1"/>
    <xf numFmtId="0" fontId="15" fillId="9" borderId="0" xfId="0" applyFont="1" applyFill="1" applyAlignment="1">
      <alignment horizontal="left" vertical="top" wrapText="1"/>
    </xf>
    <xf numFmtId="0" fontId="16" fillId="9" borderId="0" xfId="0" applyFont="1" applyFill="1" applyAlignment="1">
      <alignment horizontal="left" vertical="top" wrapText="1"/>
    </xf>
    <xf numFmtId="0" fontId="14" fillId="9" borderId="0" xfId="0" applyFont="1" applyFill="1" applyAlignment="1">
      <alignment horizontal="left" vertical="center" wrapText="1"/>
    </xf>
    <xf numFmtId="0" fontId="17" fillId="9" borderId="0" xfId="0" applyFont="1" applyFill="1" applyAlignment="1">
      <alignment vertical="center"/>
    </xf>
    <xf numFmtId="0" fontId="18" fillId="9" borderId="0" xfId="0" applyFont="1" applyFill="1" applyAlignment="1">
      <alignment horizontal="left" vertical="center" wrapText="1"/>
    </xf>
    <xf numFmtId="0" fontId="12" fillId="9" borderId="0" xfId="0" applyFont="1" applyFill="1" applyAlignment="1">
      <alignment vertical="center"/>
    </xf>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xf numFmtId="0" fontId="14" fillId="9" borderId="0" xfId="0" applyFont="1" applyFill="1"/>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0" fontId="16" fillId="9" borderId="0" xfId="0" applyFont="1" applyFill="1" applyAlignment="1">
      <alignment vertical="center"/>
    </xf>
    <xf numFmtId="15" fontId="18" fillId="9" borderId="0" xfId="0" applyNumberFormat="1" applyFont="1" applyFill="1"/>
    <xf numFmtId="0" fontId="14" fillId="9" borderId="0" xfId="0" applyFont="1" applyFill="1" applyAlignment="1">
      <alignment horizontal="left" vertical="center"/>
    </xf>
    <xf numFmtId="0" fontId="1" fillId="9" borderId="1" xfId="0" applyFont="1" applyFill="1" applyBorder="1" applyAlignment="1">
      <alignment horizontal="left"/>
    </xf>
    <xf numFmtId="0" fontId="0" fillId="0" borderId="0" xfId="0"/>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8"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9" borderId="0" xfId="0" applyFont="1" applyFill="1"/>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4" fillId="7" borderId="10" xfId="0" applyNumberFormat="1" applyFont="1" applyFill="1" applyBorder="1" applyAlignment="1">
      <alignment horizontal="left" vertical="center" wrapText="1"/>
    </xf>
    <xf numFmtId="0" fontId="4" fillId="8" borderId="10" xfId="0" applyNumberFormat="1" applyFont="1" applyFill="1" applyBorder="1" applyAlignment="1">
      <alignment horizontal="left" vertical="center"/>
    </xf>
    <xf numFmtId="0" fontId="4" fillId="7" borderId="10" xfId="0" applyNumberFormat="1" applyFont="1" applyFill="1" applyBorder="1" applyAlignment="1">
      <alignment horizontal="left" vertical="center"/>
    </xf>
    <xf numFmtId="0" fontId="27" fillId="2" borderId="1" xfId="0" applyFont="1" applyFill="1" applyBorder="1" applyAlignment="1">
      <alignment horizontal="center" vertical="center" wrapText="1"/>
    </xf>
    <xf numFmtId="0" fontId="0" fillId="9" borderId="0" xfId="0" applyFill="1" applyAlignment="1">
      <alignment horizontal="left"/>
    </xf>
    <xf numFmtId="0" fontId="0" fillId="0" borderId="0" xfId="0"/>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10" xfId="0" applyNumberFormat="1" applyFont="1" applyFill="1" applyBorder="1" applyAlignment="1">
      <alignment horizontal="center" vertical="center"/>
    </xf>
    <xf numFmtId="0" fontId="0" fillId="0" borderId="0" xfId="0"/>
    <xf numFmtId="0" fontId="0" fillId="9" borderId="0" xfId="0" applyFill="1"/>
    <xf numFmtId="0" fontId="0" fillId="0" borderId="0" xfId="0"/>
    <xf numFmtId="0" fontId="12" fillId="9" borderId="0" xfId="0" applyFont="1" applyFill="1" applyAlignment="1">
      <alignment horizontal="left" vertical="center"/>
    </xf>
    <xf numFmtId="0" fontId="16" fillId="9" borderId="0" xfId="0" applyFont="1" applyFill="1" applyAlignment="1">
      <alignment vertical="center"/>
    </xf>
    <xf numFmtId="15" fontId="18" fillId="9" borderId="0" xfId="0" applyNumberFormat="1" applyFont="1" applyFill="1"/>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 fillId="6" borderId="10" xfId="0" applyNumberFormat="1" applyFont="1" applyFill="1" applyBorder="1" applyAlignment="1">
      <alignment vertical="center" wrapText="1"/>
    </xf>
    <xf numFmtId="0" fontId="4" fillId="7" borderId="10" xfId="0" applyNumberFormat="1" applyFont="1" applyFill="1" applyBorder="1" applyAlignment="1">
      <alignment vertical="center" wrapText="1"/>
    </xf>
    <xf numFmtId="0" fontId="4" fillId="8" borderId="10" xfId="0" applyNumberFormat="1" applyFont="1" applyFill="1" applyBorder="1" applyAlignment="1">
      <alignment vertical="center" wrapText="1"/>
    </xf>
    <xf numFmtId="0" fontId="0" fillId="9" borderId="0" xfId="0" applyFill="1"/>
    <xf numFmtId="0" fontId="0" fillId="9" borderId="0" xfId="0" applyFill="1" applyAlignment="1">
      <alignment horizontal="left" vertical="top"/>
    </xf>
    <xf numFmtId="0" fontId="31" fillId="9" borderId="0" xfId="0" applyFont="1" applyFill="1" applyAlignment="1">
      <alignment wrapText="1"/>
    </xf>
    <xf numFmtId="165" fontId="4" fillId="7" borderId="7" xfId="1" applyNumberFormat="1" applyFont="1" applyFill="1" applyBorder="1" applyAlignment="1">
      <alignment horizontal="center" vertical="center"/>
    </xf>
    <xf numFmtId="165" fontId="4" fillId="8" borderId="7" xfId="1" applyNumberFormat="1" applyFont="1" applyFill="1" applyBorder="1" applyAlignment="1">
      <alignment horizontal="center" vertical="center"/>
    </xf>
    <xf numFmtId="165" fontId="4" fillId="7" borderId="1"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7" borderId="10" xfId="1" applyNumberFormat="1" applyFont="1" applyFill="1" applyBorder="1" applyAlignment="1">
      <alignment horizontal="center" vertical="center"/>
    </xf>
    <xf numFmtId="165" fontId="4" fillId="8" borderId="10" xfId="1" applyNumberFormat="1" applyFont="1" applyFill="1" applyBorder="1" applyAlignment="1">
      <alignment horizontal="center" vertical="center"/>
    </xf>
    <xf numFmtId="165" fontId="2" fillId="4" borderId="1" xfId="1"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2" fillId="5" borderId="1" xfId="1" applyNumberFormat="1" applyFont="1" applyFill="1" applyBorder="1" applyAlignment="1">
      <alignment horizontal="center" vertical="center"/>
    </xf>
    <xf numFmtId="165" fontId="0" fillId="9" borderId="0" xfId="1" applyNumberFormat="1" applyFont="1" applyFill="1"/>
    <xf numFmtId="165" fontId="4" fillId="8" borderId="7" xfId="1" applyNumberFormat="1" applyFont="1" applyFill="1" applyBorder="1" applyAlignment="1">
      <alignment vertical="center"/>
    </xf>
    <xf numFmtId="165" fontId="4" fillId="8" borderId="1" xfId="1" applyNumberFormat="1" applyFont="1" applyFill="1" applyBorder="1" applyAlignment="1">
      <alignment vertical="center"/>
    </xf>
    <xf numFmtId="165" fontId="4" fillId="8" borderId="10" xfId="1" applyNumberFormat="1" applyFont="1" applyFill="1" applyBorder="1" applyAlignment="1">
      <alignment vertical="center"/>
    </xf>
    <xf numFmtId="165" fontId="4" fillId="8" borderId="7" xfId="1" quotePrefix="1" applyNumberFormat="1" applyFont="1" applyFill="1" applyBorder="1" applyAlignment="1">
      <alignment horizontal="left" vertical="center"/>
    </xf>
    <xf numFmtId="165" fontId="4" fillId="8" borderId="1" xfId="1" quotePrefix="1" applyNumberFormat="1" applyFont="1" applyFill="1" applyBorder="1" applyAlignment="1">
      <alignment horizontal="left" vertical="center"/>
    </xf>
    <xf numFmtId="165" fontId="4" fillId="8" borderId="1" xfId="1" applyNumberFormat="1" applyFont="1" applyFill="1" applyBorder="1" applyAlignment="1">
      <alignment horizontal="left" vertical="center"/>
    </xf>
    <xf numFmtId="165" fontId="4" fillId="8" borderId="10" xfId="1" applyNumberFormat="1" applyFont="1" applyFill="1" applyBorder="1" applyAlignment="1">
      <alignment horizontal="left" vertical="center"/>
    </xf>
    <xf numFmtId="0" fontId="4" fillId="7" borderId="13" xfId="0" applyNumberFormat="1" applyFont="1" applyFill="1" applyBorder="1" applyAlignment="1">
      <alignment horizontal="left" vertical="center"/>
    </xf>
    <xf numFmtId="0" fontId="4" fillId="8" borderId="13" xfId="0" applyNumberFormat="1" applyFont="1" applyFill="1" applyBorder="1" applyAlignment="1">
      <alignment horizontal="left" vertical="center"/>
    </xf>
    <xf numFmtId="0" fontId="0" fillId="0" borderId="0" xfId="0"/>
    <xf numFmtId="0" fontId="4" fillId="8" borderId="13" xfId="0" quotePrefix="1" applyNumberFormat="1" applyFont="1" applyFill="1" applyBorder="1" applyAlignment="1">
      <alignment horizontal="left" vertical="center"/>
    </xf>
    <xf numFmtId="0" fontId="4" fillId="0" borderId="0" xfId="0" applyFont="1" applyAlignment="1">
      <alignment wrapText="1"/>
    </xf>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6" fillId="9" borderId="0" xfId="4" applyFont="1" applyFill="1" applyAlignment="1">
      <alignment vertical="top" wrapText="1"/>
    </xf>
    <xf numFmtId="0" fontId="14" fillId="9" borderId="0" xfId="4" applyFont="1" applyFill="1" applyAlignment="1">
      <alignment vertical="center"/>
    </xf>
    <xf numFmtId="0" fontId="12" fillId="9" borderId="0" xfId="4" applyFont="1" applyFill="1" applyAlignment="1">
      <alignment vertical="center"/>
    </xf>
    <xf numFmtId="0" fontId="23" fillId="9" borderId="0" xfId="4" applyFont="1" applyFill="1" applyAlignment="1">
      <alignment horizontal="left" vertical="center" indent="2"/>
    </xf>
    <xf numFmtId="0" fontId="26" fillId="9" borderId="0" xfId="4" applyFont="1" applyFill="1" applyAlignment="1">
      <alignment vertical="center"/>
    </xf>
    <xf numFmtId="0" fontId="27" fillId="10" borderId="11" xfId="4" applyFont="1" applyFill="1" applyBorder="1" applyAlignment="1">
      <alignment horizontal="left" vertical="center"/>
    </xf>
    <xf numFmtId="0" fontId="28" fillId="6" borderId="6" xfId="4" applyFont="1" applyFill="1" applyBorder="1" applyAlignment="1">
      <alignment vertical="center" wrapText="1"/>
    </xf>
    <xf numFmtId="0" fontId="29" fillId="9" borderId="12" xfId="4" applyFont="1" applyFill="1" applyBorder="1" applyAlignment="1">
      <alignment horizontal="center" vertical="center" wrapText="1"/>
    </xf>
    <xf numFmtId="0" fontId="20"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6" fillId="9" borderId="0" xfId="4" applyFont="1" applyFill="1" applyAlignment="1">
      <alignment horizontal="left" vertical="center"/>
    </xf>
    <xf numFmtId="0" fontId="27" fillId="10" borderId="12" xfId="4" applyFont="1" applyFill="1" applyBorder="1" applyAlignment="1">
      <alignment horizontal="left" vertical="center"/>
    </xf>
    <xf numFmtId="0" fontId="22" fillId="9" borderId="6" xfId="4" applyFont="1" applyFill="1" applyBorder="1" applyAlignment="1">
      <alignment vertical="center"/>
    </xf>
    <xf numFmtId="0" fontId="0" fillId="0" borderId="0" xfId="0"/>
    <xf numFmtId="0" fontId="27" fillId="2" borderId="1" xfId="0" applyFont="1" applyFill="1" applyBorder="1" applyAlignment="1">
      <alignment horizontal="center" vertical="center"/>
    </xf>
    <xf numFmtId="0" fontId="0" fillId="0" borderId="0" xfId="0" applyAlignment="1">
      <alignment vertical="center"/>
    </xf>
    <xf numFmtId="0" fontId="4" fillId="0" borderId="0" xfId="0" applyFont="1" applyAlignment="1">
      <alignment wrapText="1"/>
    </xf>
    <xf numFmtId="0" fontId="0" fillId="0" borderId="0" xfId="0"/>
    <xf numFmtId="0" fontId="16" fillId="9" borderId="0" xfId="3" applyFont="1" applyFill="1" applyAlignment="1">
      <alignment horizontal="left" vertical="center" wrapText="1"/>
    </xf>
    <xf numFmtId="0" fontId="12" fillId="9" borderId="0" xfId="0" applyFont="1" applyFill="1" applyAlignment="1">
      <alignment horizontal="left" vertical="center"/>
    </xf>
    <xf numFmtId="0" fontId="14"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Alignment="1">
      <alignment horizontal="left" vertical="center" wrapText="1"/>
    </xf>
    <xf numFmtId="0" fontId="16" fillId="9" borderId="0" xfId="3" applyFont="1" applyFill="1" applyBorder="1" applyAlignment="1">
      <alignment horizontal="left" vertical="center" wrapText="1"/>
    </xf>
    <xf numFmtId="0" fontId="16" fillId="9" borderId="0" xfId="0" applyFont="1" applyFill="1" applyAlignment="1">
      <alignment horizontal="left" vertical="top" wrapText="1"/>
    </xf>
    <xf numFmtId="0" fontId="15" fillId="9" borderId="0" xfId="0" applyFont="1" applyFill="1" applyAlignment="1">
      <alignment horizontal="left" vertical="top" wrapText="1"/>
    </xf>
    <xf numFmtId="0" fontId="18" fillId="9" borderId="0" xfId="0" applyFont="1" applyFill="1" applyAlignment="1">
      <alignment horizontal="left" vertical="center" wrapText="1"/>
    </xf>
    <xf numFmtId="0" fontId="5" fillId="9" borderId="0" xfId="0" applyFont="1" applyFill="1" applyAlignment="1">
      <alignment horizontal="left" vertical="top" wrapText="1"/>
    </xf>
    <xf numFmtId="0" fontId="0" fillId="9" borderId="0" xfId="0" applyFill="1" applyAlignment="1">
      <alignment horizontal="left" vertical="top" wrapText="1"/>
    </xf>
    <xf numFmtId="0" fontId="29" fillId="9" borderId="12" xfId="4" applyFont="1" applyFill="1" applyBorder="1" applyAlignment="1">
      <alignment horizontal="left" vertical="center" wrapText="1"/>
    </xf>
    <xf numFmtId="0" fontId="29" fillId="9" borderId="0" xfId="4" applyFont="1" applyFill="1" applyBorder="1" applyAlignment="1">
      <alignment horizontal="left" vertical="center" wrapText="1"/>
    </xf>
    <xf numFmtId="0" fontId="29" fillId="9" borderId="0" xfId="4" applyFont="1" applyFill="1" applyAlignment="1">
      <alignment horizontal="left" vertical="center" wrapText="1"/>
    </xf>
    <xf numFmtId="0" fontId="27" fillId="10" borderId="12" xfId="4" applyFont="1" applyFill="1" applyBorder="1" applyAlignment="1">
      <alignment horizontal="left" vertical="center"/>
    </xf>
    <xf numFmtId="0" fontId="27" fillId="10" borderId="0" xfId="4" applyFont="1" applyFill="1" applyBorder="1" applyAlignment="1">
      <alignment horizontal="left" vertical="center"/>
    </xf>
    <xf numFmtId="0" fontId="14" fillId="9" borderId="0" xfId="4" applyFont="1" applyFill="1" applyAlignment="1">
      <alignment horizontal="left" vertical="center" wrapText="1"/>
    </xf>
    <xf numFmtId="0" fontId="25"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3" fillId="9" borderId="0" xfId="4" applyFont="1" applyFill="1" applyAlignment="1">
      <alignment horizontal="left" vertical="center" wrapText="1"/>
    </xf>
    <xf numFmtId="0" fontId="16" fillId="9" borderId="0" xfId="4" applyFont="1" applyFill="1" applyAlignment="1">
      <alignment horizontal="left" vertical="center" wrapText="1"/>
    </xf>
    <xf numFmtId="0" fontId="16" fillId="9" borderId="0" xfId="4" applyFont="1" applyFill="1" applyAlignment="1">
      <alignment vertical="top" wrapText="1"/>
    </xf>
  </cellXfs>
  <cellStyles count="6">
    <cellStyle name="Comma" xfId="1" builtinId="3"/>
    <cellStyle name="Comma 2" xfId="5" xr:uid="{00000000-0005-0000-0000-000001000000}"/>
    <cellStyle name="Hyperlink" xfId="2" builtinId="8"/>
    <cellStyle name="Normal" xfId="0" builtinId="0"/>
    <cellStyle name="Normal 2" xfId="3" xr:uid="{00000000-0005-0000-0000-000004000000}"/>
    <cellStyle name="Normal 2 2" xfId="4" xr:uid="{00000000-0005-0000-0000-000005000000}"/>
  </cellStyles>
  <dxfs count="143">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65" formatCode="_-* #,##0.0_-;\-* #,##0.0_-;_-* &quot;-&quot;??_-;_-@_-"/>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trike val="0"/>
        <outline val="0"/>
        <shadow val="0"/>
        <u val="none"/>
        <vertAlign val="baseline"/>
        <sz val="8"/>
        <color auto="1"/>
        <name val="Arial"/>
        <family val="2"/>
        <scheme val="none"/>
      </font>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'New South Wales Summary'!$B$60</c:f>
              <c:strCache>
                <c:ptCount val="1"/>
                <c:pt idx="0">
                  <c:v>Existing less Announced Withdrawal</c:v>
                </c:pt>
              </c:strCache>
            </c:strRef>
          </c:tx>
          <c:spPr>
            <a:solidFill>
              <a:schemeClr val="accent6">
                <a:lumMod val="75000"/>
              </a:schemeClr>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Summary'!$C$60:$L$60</c:f>
              <c:numCache>
                <c:formatCode>_-* #,##0_-;\-* #,##0_-;_-* "-"??_-;_-@_-</c:formatCode>
                <c:ptCount val="10"/>
                <c:pt idx="0">
                  <c:v>8160</c:v>
                </c:pt>
                <c:pt idx="1">
                  <c:v>605.9</c:v>
                </c:pt>
                <c:pt idx="2">
                  <c:v>1530</c:v>
                </c:pt>
                <c:pt idx="3">
                  <c:v>147.26799999999997</c:v>
                </c:pt>
                <c:pt idx="4">
                  <c:v>452.02269999999999</c:v>
                </c:pt>
                <c:pt idx="5">
                  <c:v>1307</c:v>
                </c:pt>
                <c:pt idx="6">
                  <c:v>2706.1</c:v>
                </c:pt>
                <c:pt idx="7">
                  <c:v>162.87400000000002</c:v>
                </c:pt>
                <c:pt idx="8">
                  <c:v>0</c:v>
                </c:pt>
                <c:pt idx="9">
                  <c:v>9.1300000000000008</c:v>
                </c:pt>
              </c:numCache>
            </c:numRef>
          </c:val>
          <c:extLst>
            <c:ext xmlns:c16="http://schemas.microsoft.com/office/drawing/2014/chart" uri="{C3380CC4-5D6E-409C-BE32-E72D297353CC}">
              <c16:uniqueId val="{00000001-A3D1-482D-B116-277E85E54BB3}"/>
            </c:ext>
          </c:extLst>
        </c:ser>
        <c:ser>
          <c:idx val="0"/>
          <c:order val="1"/>
          <c:tx>
            <c:strRef>
              <c:f>'New South Wales Summary'!$B$59</c:f>
              <c:strCache>
                <c:ptCount val="1"/>
                <c:pt idx="0">
                  <c:v>Announced Withdrawal</c:v>
                </c:pt>
              </c:strCache>
            </c:strRef>
          </c:tx>
          <c:spPr>
            <a:solidFill>
              <a:srgbClr val="FFC000"/>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Summary'!$C$59:$L$59</c:f>
              <c:numCache>
                <c:formatCode>_-* #,##0_-;\-* #,##0_-;_-* "-"??_-;_-@_-</c:formatCode>
                <c:ptCount val="10"/>
                <c:pt idx="0">
                  <c:v>2000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'New South Wales Summary'!$B$62</c:f>
              <c:strCache>
                <c:ptCount val="1"/>
                <c:pt idx="0">
                  <c:v>Committed</c:v>
                </c:pt>
              </c:strCache>
            </c:strRef>
          </c:tx>
          <c:spPr>
            <a:solidFill>
              <a:schemeClr val="tx2"/>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Summary'!$C$62:$L$62</c:f>
              <c:numCache>
                <c:formatCode>_-* #,##0_-;\-* #,##0_-;_-* "-"??_-;_-@_-</c:formatCode>
                <c:ptCount val="10"/>
                <c:pt idx="0">
                  <c:v>0</c:v>
                </c:pt>
                <c:pt idx="1">
                  <c:v>0</c:v>
                </c:pt>
                <c:pt idx="2">
                  <c:v>0</c:v>
                </c:pt>
                <c:pt idx="3">
                  <c:v>0</c:v>
                </c:pt>
                <c:pt idx="4">
                  <c:v>278.39999999999998</c:v>
                </c:pt>
                <c:pt idx="5">
                  <c:v>339.19</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'New South Wales Summary'!$B$63</c:f>
              <c:strCache>
                <c:ptCount val="1"/>
                <c:pt idx="0">
                  <c:v>Proposed</c:v>
                </c:pt>
              </c:strCache>
            </c:strRef>
          </c:tx>
          <c:spPr>
            <a:solidFill>
              <a:schemeClr val="accent1">
                <a:lumMod val="40000"/>
                <a:lumOff val="60000"/>
              </a:schemeClr>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Summary'!$C$63:$L$63</c:f>
              <c:numCache>
                <c:formatCode>_-* #,##0_-;\-* #,##0_-;_-* "-"??_-;_-@_-</c:formatCode>
                <c:ptCount val="10"/>
                <c:pt idx="0">
                  <c:v>0</c:v>
                </c:pt>
                <c:pt idx="1">
                  <c:v>15</c:v>
                </c:pt>
                <c:pt idx="2">
                  <c:v>0</c:v>
                </c:pt>
                <c:pt idx="3">
                  <c:v>975</c:v>
                </c:pt>
                <c:pt idx="4">
                  <c:v>6799.9</c:v>
                </c:pt>
                <c:pt idx="5">
                  <c:v>5444.52</c:v>
                </c:pt>
                <c:pt idx="6">
                  <c:v>2000</c:v>
                </c:pt>
                <c:pt idx="7">
                  <c:v>180.6</c:v>
                </c:pt>
                <c:pt idx="8">
                  <c:v>0</c:v>
                </c:pt>
                <c:pt idx="9">
                  <c:v>28.8</c:v>
                </c:pt>
              </c:numCache>
            </c:numRef>
          </c:val>
          <c:extLst>
            <c:ext xmlns:c16="http://schemas.microsoft.com/office/drawing/2014/chart" uri="{C3380CC4-5D6E-409C-BE32-E72D297353CC}">
              <c16:uniqueId val="{00000003-A3D1-482D-B116-277E85E54BB3}"/>
            </c:ext>
          </c:extLst>
        </c:ser>
        <c:ser>
          <c:idx val="4"/>
          <c:order val="4"/>
          <c:tx>
            <c:strRef>
              <c:f>'New South Wales Summary'!$B$64</c:f>
              <c:strCache>
                <c:ptCount val="1"/>
                <c:pt idx="0">
                  <c:v>Withdrawn</c:v>
                </c:pt>
              </c:strCache>
            </c:strRef>
          </c:tx>
          <c:spPr>
            <a:solidFill>
              <a:schemeClr val="accent2"/>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Summary'!$C$64:$L$64</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'New South Wales Summary'!$B$61</c:f>
              <c:strCache>
                <c:ptCount val="1"/>
                <c:pt idx="0">
                  <c:v>Upgrade</c:v>
                </c:pt>
              </c:strCache>
            </c:strRef>
          </c:tx>
          <c:spPr>
            <a:solidFill>
              <a:schemeClr val="tx1"/>
            </a:solidFill>
            <a:ln>
              <a:noFill/>
            </a:ln>
            <a:effectLst/>
          </c:spPr>
          <c:invertIfNegative val="0"/>
          <c:cat>
            <c:strRef>
              <c:f>'New South Wales Summary'!$C$57:$L$57</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'New South Wales Summary'!$C$61:$L$61</c:f>
              <c:numCache>
                <c:formatCode>_-* #,##0_-;\-* #,##0_-;_-* "-"??_-;_-@_-</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35-4218-B808-C52963AA2D9C}"/>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34</xdr:row>
      <xdr:rowOff>157161</xdr:rowOff>
    </xdr:from>
    <xdr:to>
      <xdr:col>12</xdr:col>
      <xdr:colOff>571499</xdr:colOff>
      <xdr:row>55</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33" totalsRowShown="0" headerRowDxfId="142" headerRowBorderDxfId="141">
  <autoFilter ref="A2:K33" xr:uid="{FA815901-C39D-4720-A7E0-C6E8713EBEAA}"/>
  <tableColumns count="11">
    <tableColumn id="1" xr3:uid="{00000000-0010-0000-0000-000001000000}" name="Power Station" dataDxfId="140"/>
    <tableColumn id="2" xr3:uid="{00000000-0010-0000-0000-000002000000}" name="Owner" dataDxfId="139"/>
    <tableColumn id="3" xr3:uid="{C39D1C73-36B8-4B71-8FCF-B05C5CC0C9B2}" name="Unit Number and Nameplate Capacity (MW)" dataDxfId="138"/>
    <tableColumn id="4" xr3:uid="{3ECE958F-22C2-48DD-933A-CB83BDA62FF1}" name="Nameplate Capacity (MW)" dataDxfId="137"/>
    <tableColumn id="5" xr3:uid="{00000000-0010-0000-0000-000005000000}" name="Technology Type" dataDxfId="136"/>
    <tableColumn id="6" xr3:uid="{00000000-0010-0000-0000-000006000000}" name="Fuel Type" dataDxfId="135"/>
    <tableColumn id="7" xr3:uid="{00000000-0010-0000-0000-000007000000}" name="Dispatch Type" dataDxfId="134"/>
    <tableColumn id="8" xr3:uid="{00000000-0010-0000-0000-000008000000}" name="Service Status" dataDxfId="133"/>
    <tableColumn id="9" xr3:uid="{00000000-0010-0000-0000-000009000000}" name="Region" dataDxfId="132"/>
    <tableColumn id="10" xr3:uid="{00000000-0010-0000-0000-00000A000000}" name="summary_status" dataDxfId="131"/>
    <tableColumn id="11" xr3:uid="{00000000-0010-0000-0000-00000B000000}" name="summary_bucket" dataDxfId="13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39" totalsRowShown="0" headerRowDxfId="129">
  <autoFilter ref="A2:O39" xr:uid="{B31D6D2A-054B-48CE-8135-1614B30EF296}"/>
  <tableColumns count="15">
    <tableColumn id="1" xr3:uid="{00000000-0010-0000-0100-000001000000}" name="Power 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 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49:O66" totalsRowShown="0" headerRowDxfId="113" headerRowBorderDxfId="112">
  <autoFilter ref="A49:O66" xr:uid="{C3AD433D-95B6-43A7-99D2-B5F2045CB6B1}"/>
  <tableColumns count="15">
    <tableColumn id="1" xr3:uid="{00000000-0010-0000-0200-000001000000}" name="Power 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 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3:O93" totalsRowShown="0" headerRowDxfId="96" headerRowBorderDxfId="95">
  <autoFilter ref="A73:O93" xr:uid="{9A0F4C66-19DE-4EA0-B253-F8ED250D84A4}"/>
  <tableColumns count="15">
    <tableColumn id="1" xr3:uid="{00000000-0010-0000-0300-000001000000}" name="Power 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 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39" totalsRowShown="0" headerRowDxfId="79" headerRowBorderDxfId="78">
  <autoFilter ref="A2:O39" xr:uid="{DAABC2F5-1B52-479C-A0B8-1630A5BE898D}"/>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49:O66" totalsRowShown="0" headerRowDxfId="62" headerRowBorderDxfId="61">
  <autoFilter ref="A49:O66" xr:uid="{58B96799-C269-42EB-B3DD-96DD65496C29}"/>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3:O93" totalsRowShown="0" headerRowDxfId="45" headerRowBorderDxfId="44">
  <autoFilter ref="A73:O93" xr:uid="{8877291C-9804-4813-8686-9D39DE140FD3}"/>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9" totalsRowShown="0" headerRowDxfId="28" headerRowBorderDxfId="27">
  <autoFilter ref="A2:I89" xr:uid="{D0B95ED0-DD1D-4522-813D-CC60766979E4}"/>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4AE36DCF-A9CF-4D86-8A04-E8B3BFFFE565}"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98" totalsRowShown="0" headerRowDxfId="17" headerRowBorderDxfId="16" tableBorderDxfId="15">
  <autoFilter ref="A2:O98" xr:uid="{D9BB6BB3-1947-40E8-9985-6224007A162F}"/>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dataCellStyle="Comma"/>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6"/>
  <sheetViews>
    <sheetView showGridLines="0" tabSelected="1" workbookViewId="0"/>
  </sheetViews>
  <sheetFormatPr defaultRowHeight="15"/>
  <cols>
    <col min="1" max="1" width="4.7109375" customWidth="1"/>
    <col min="2" max="2" width="40.7109375" customWidth="1"/>
    <col min="11" max="11" width="9.140625" style="7"/>
  </cols>
  <sheetData>
    <row r="1" spans="1:11">
      <c r="A1" s="27" t="s">
        <v>24</v>
      </c>
    </row>
    <row r="2" spans="1:11">
      <c r="B2" s="5" t="s">
        <v>237</v>
      </c>
      <c r="C2" s="4"/>
      <c r="D2" s="4"/>
      <c r="E2" s="4"/>
      <c r="F2" s="4"/>
      <c r="G2" s="4"/>
      <c r="H2" s="4"/>
      <c r="I2" s="4"/>
      <c r="J2" s="6"/>
      <c r="K2" s="8"/>
    </row>
    <row r="3" spans="1:11">
      <c r="B3" s="6" t="s">
        <v>238</v>
      </c>
      <c r="J3" s="6"/>
      <c r="K3" s="8"/>
    </row>
    <row r="4" spans="1:11">
      <c r="B4" s="6" t="s">
        <v>469</v>
      </c>
      <c r="J4" s="6"/>
      <c r="K4" s="8"/>
    </row>
    <row r="5" spans="1:11">
      <c r="B5" s="28" t="s">
        <v>468</v>
      </c>
      <c r="C5" s="29"/>
      <c r="D5" s="29"/>
      <c r="E5" s="29"/>
      <c r="F5" s="29"/>
      <c r="G5" s="29"/>
      <c r="H5" s="29"/>
      <c r="I5" s="29"/>
      <c r="J5" s="6"/>
      <c r="K5" s="8"/>
    </row>
    <row r="6" spans="1:11">
      <c r="B6" s="4"/>
      <c r="C6" s="4"/>
      <c r="D6" s="4"/>
      <c r="E6" s="4"/>
      <c r="F6" s="4"/>
      <c r="G6" s="4"/>
      <c r="H6" s="4"/>
      <c r="I6" s="4"/>
    </row>
    <row r="7" spans="1:11" s="11" customFormat="1">
      <c r="B7" s="30" t="s">
        <v>470</v>
      </c>
      <c r="C7" s="8"/>
      <c r="D7" s="8"/>
      <c r="E7" s="8"/>
      <c r="F7" s="8"/>
      <c r="G7" s="8"/>
      <c r="H7" s="8"/>
      <c r="I7" s="8"/>
    </row>
    <row r="8" spans="1:11" s="11" customFormat="1">
      <c r="B8" s="8"/>
      <c r="C8" s="8"/>
      <c r="D8" s="8"/>
      <c r="E8" s="8"/>
      <c r="F8" s="8"/>
      <c r="G8" s="8"/>
      <c r="H8" s="8"/>
      <c r="I8" s="8"/>
    </row>
    <row r="9" spans="1:11" ht="19.5">
      <c r="B9" s="1" t="s">
        <v>548</v>
      </c>
    </row>
    <row r="10" spans="1:11" s="11" customFormat="1" ht="19.5">
      <c r="B10" s="31"/>
    </row>
    <row r="11" spans="1:11" s="11" customFormat="1">
      <c r="B11" s="32" t="s">
        <v>471</v>
      </c>
      <c r="C11" s="33"/>
      <c r="D11" s="33"/>
      <c r="E11" s="33"/>
      <c r="F11" s="33"/>
      <c r="G11" s="33"/>
      <c r="H11" s="33"/>
      <c r="I11" s="33"/>
      <c r="J11" s="33"/>
      <c r="K11" s="33"/>
    </row>
    <row r="12" spans="1:11" s="11" customFormat="1" ht="15" customHeight="1">
      <c r="B12" s="142" t="s">
        <v>578</v>
      </c>
      <c r="C12" s="142"/>
      <c r="D12" s="142"/>
      <c r="E12" s="142"/>
      <c r="F12" s="142"/>
      <c r="G12" s="142"/>
      <c r="H12" s="142"/>
      <c r="I12" s="142"/>
      <c r="J12" s="142"/>
      <c r="K12" s="142"/>
    </row>
    <row r="13" spans="1:11" s="50" customFormat="1">
      <c r="B13" s="147" t="s">
        <v>579</v>
      </c>
      <c r="C13" s="147"/>
      <c r="D13" s="147"/>
      <c r="E13" s="147"/>
      <c r="F13" s="147"/>
      <c r="G13" s="147"/>
      <c r="H13" s="147"/>
      <c r="I13" s="147"/>
      <c r="J13" s="147"/>
      <c r="K13" s="147"/>
    </row>
    <row r="14" spans="1:11" s="50" customFormat="1" ht="26.25" customHeight="1">
      <c r="B14" s="147" t="s">
        <v>580</v>
      </c>
      <c r="C14" s="147"/>
      <c r="D14" s="147"/>
      <c r="E14" s="147"/>
      <c r="F14" s="147"/>
      <c r="G14" s="147"/>
      <c r="H14" s="147"/>
      <c r="I14" s="147"/>
      <c r="J14" s="147"/>
      <c r="K14" s="147"/>
    </row>
    <row r="15" spans="1:11" s="11" customFormat="1">
      <c r="B15" s="34"/>
      <c r="C15" s="35"/>
      <c r="D15" s="35"/>
      <c r="E15" s="35"/>
      <c r="F15" s="35"/>
      <c r="G15" s="35"/>
      <c r="H15" s="35"/>
      <c r="I15" s="35"/>
      <c r="J15" s="35"/>
      <c r="K15" s="35"/>
    </row>
    <row r="16" spans="1:11" s="11" customFormat="1">
      <c r="B16" s="143" t="s">
        <v>473</v>
      </c>
      <c r="C16" s="143"/>
      <c r="D16" s="143"/>
      <c r="E16" s="143"/>
      <c r="F16" s="143"/>
      <c r="G16" s="36"/>
      <c r="H16" s="36"/>
      <c r="I16" s="36"/>
      <c r="J16" s="36"/>
      <c r="K16" s="36"/>
    </row>
    <row r="17" spans="2:11" s="11" customFormat="1">
      <c r="B17" s="37" t="s">
        <v>248</v>
      </c>
      <c r="C17" s="36"/>
      <c r="D17" s="36"/>
      <c r="E17" s="36"/>
      <c r="F17" s="36"/>
      <c r="G17" s="36"/>
      <c r="H17" s="36"/>
      <c r="I17" s="36"/>
      <c r="J17" s="36"/>
      <c r="K17" s="36"/>
    </row>
    <row r="18" spans="2:11" s="11" customFormat="1">
      <c r="B18" s="144" t="s">
        <v>472</v>
      </c>
      <c r="C18" s="144"/>
      <c r="D18" s="144"/>
      <c r="E18" s="144"/>
      <c r="F18" s="144"/>
      <c r="G18" s="144"/>
      <c r="H18" s="144"/>
      <c r="I18" s="144"/>
      <c r="J18" s="144"/>
      <c r="K18" s="144"/>
    </row>
    <row r="19" spans="2:11" s="11" customFormat="1">
      <c r="B19" s="38"/>
      <c r="C19" s="36"/>
      <c r="D19" s="36"/>
      <c r="E19" s="36"/>
      <c r="F19" s="36"/>
      <c r="G19" s="36"/>
      <c r="H19" s="36"/>
      <c r="I19" s="36"/>
      <c r="J19" s="36"/>
      <c r="K19" s="36"/>
    </row>
    <row r="20" spans="2:11" s="11" customFormat="1">
      <c r="B20" s="37" t="s">
        <v>474</v>
      </c>
      <c r="C20" s="36"/>
      <c r="D20" s="36"/>
      <c r="E20" s="36"/>
      <c r="F20" s="36"/>
      <c r="G20" s="36"/>
      <c r="H20" s="36"/>
      <c r="I20" s="36"/>
      <c r="J20" s="36"/>
      <c r="K20" s="36"/>
    </row>
    <row r="21" spans="2:11" s="11" customFormat="1">
      <c r="B21" s="145" t="s">
        <v>475</v>
      </c>
      <c r="C21" s="145"/>
      <c r="D21" s="145"/>
      <c r="E21" s="145"/>
      <c r="F21" s="145"/>
      <c r="G21" s="145"/>
      <c r="H21" s="145"/>
      <c r="I21" s="145"/>
      <c r="J21" s="145"/>
      <c r="K21" s="145"/>
    </row>
    <row r="22" spans="2:11" s="11" customFormat="1">
      <c r="B22" s="39"/>
      <c r="C22" s="36"/>
      <c r="D22" s="36"/>
      <c r="E22" s="36"/>
      <c r="F22" s="36"/>
      <c r="G22" s="36"/>
      <c r="H22" s="36"/>
      <c r="I22" s="36"/>
      <c r="J22" s="36"/>
      <c r="K22" s="36"/>
    </row>
    <row r="23" spans="2:11" s="11" customFormat="1">
      <c r="B23" s="39" t="s">
        <v>476</v>
      </c>
      <c r="C23" s="36"/>
      <c r="D23" s="36"/>
      <c r="E23" s="36"/>
      <c r="F23" s="36"/>
      <c r="G23" s="36"/>
      <c r="H23" s="36"/>
      <c r="I23" s="36"/>
      <c r="J23" s="36"/>
      <c r="K23" s="36"/>
    </row>
    <row r="24" spans="2:11" s="11" customFormat="1">
      <c r="B24" s="146" t="s">
        <v>748</v>
      </c>
      <c r="C24" s="145"/>
      <c r="D24" s="145"/>
      <c r="E24" s="145"/>
      <c r="F24" s="145"/>
      <c r="G24" s="145"/>
      <c r="H24" s="145"/>
      <c r="I24" s="145"/>
      <c r="J24" s="145"/>
      <c r="K24" s="145"/>
    </row>
    <row r="25" spans="2:11" s="11" customFormat="1" ht="14.1" customHeight="1">
      <c r="B25" s="146" t="s">
        <v>699</v>
      </c>
      <c r="C25" s="146"/>
      <c r="D25" s="146"/>
      <c r="E25" s="146"/>
      <c r="F25" s="146"/>
      <c r="G25" s="146"/>
      <c r="H25" s="146"/>
      <c r="I25" s="146"/>
      <c r="J25" s="146"/>
      <c r="K25" s="146"/>
    </row>
    <row r="26" spans="2:11" s="11" customFormat="1" ht="16.5" customHeight="1">
      <c r="B26" s="145" t="s">
        <v>700</v>
      </c>
      <c r="C26" s="145"/>
      <c r="D26" s="145"/>
      <c r="E26" s="145"/>
      <c r="F26" s="145"/>
      <c r="G26" s="145"/>
      <c r="H26" s="145"/>
      <c r="I26" s="145"/>
      <c r="J26" s="145"/>
      <c r="K26" s="145"/>
    </row>
    <row r="27" spans="2:11" s="11" customFormat="1">
      <c r="B27" s="40"/>
      <c r="C27" s="41"/>
      <c r="D27" s="41"/>
      <c r="E27" s="41"/>
      <c r="F27" s="41"/>
      <c r="G27" s="41"/>
      <c r="H27" s="41"/>
      <c r="I27" s="41"/>
      <c r="J27" s="41"/>
      <c r="K27" s="41"/>
    </row>
    <row r="28" spans="2:11" s="11" customFormat="1">
      <c r="B28" s="39" t="s">
        <v>477</v>
      </c>
      <c r="C28" s="41"/>
      <c r="D28" s="41"/>
      <c r="E28" s="41"/>
      <c r="F28" s="41"/>
      <c r="G28" s="41"/>
      <c r="H28" s="41"/>
      <c r="I28" s="41"/>
      <c r="J28" s="41"/>
      <c r="K28" s="41"/>
    </row>
    <row r="29" spans="2:11" s="11" customFormat="1">
      <c r="B29" s="42" t="s">
        <v>478</v>
      </c>
      <c r="C29" s="41"/>
      <c r="D29" s="41"/>
      <c r="E29" s="41"/>
      <c r="F29" s="41"/>
      <c r="G29" s="41"/>
      <c r="H29" s="41"/>
      <c r="I29" s="41"/>
      <c r="J29" s="41"/>
      <c r="K29" s="41"/>
    </row>
    <row r="30" spans="2:11" s="11" customFormat="1">
      <c r="B30" s="36"/>
      <c r="C30" s="36"/>
      <c r="D30" s="36"/>
      <c r="E30" s="36"/>
      <c r="F30" s="36"/>
      <c r="G30" s="36"/>
      <c r="H30" s="36"/>
      <c r="I30" s="36"/>
      <c r="J30" s="36"/>
      <c r="K30" s="36"/>
    </row>
    <row r="31" spans="2:11" s="11" customFormat="1">
      <c r="B31" s="32" t="s">
        <v>479</v>
      </c>
      <c r="C31" s="36"/>
      <c r="D31" s="36"/>
      <c r="E31" s="36"/>
      <c r="F31" s="36"/>
      <c r="G31" s="36"/>
      <c r="H31" s="36"/>
      <c r="I31" s="36"/>
      <c r="J31" s="36"/>
      <c r="K31" s="36"/>
    </row>
    <row r="32" spans="2:11" s="11" customFormat="1">
      <c r="B32" s="42" t="s">
        <v>480</v>
      </c>
      <c r="C32" s="29"/>
      <c r="D32" s="29"/>
      <c r="E32" s="29"/>
      <c r="F32" s="29"/>
      <c r="G32" s="29"/>
      <c r="H32" s="29"/>
      <c r="I32" s="29"/>
      <c r="J32" s="29"/>
      <c r="K32" s="29"/>
    </row>
    <row r="33" spans="2:11" s="11" customFormat="1">
      <c r="B33" s="43"/>
      <c r="C33" s="29"/>
      <c r="D33" s="29"/>
      <c r="E33" s="29"/>
      <c r="F33" s="29"/>
      <c r="G33" s="29"/>
      <c r="H33" s="29"/>
      <c r="I33" s="29"/>
      <c r="J33" s="29"/>
      <c r="K33" s="29"/>
    </row>
    <row r="34" spans="2:11" s="11" customFormat="1">
      <c r="B34" s="32" t="s">
        <v>481</v>
      </c>
      <c r="C34" s="29"/>
      <c r="D34" s="29"/>
      <c r="E34" s="29"/>
      <c r="F34" s="29"/>
      <c r="G34" s="29"/>
      <c r="H34" s="29"/>
      <c r="I34" s="29"/>
      <c r="J34" s="29"/>
      <c r="K34" s="29"/>
    </row>
    <row r="57" spans="2:13">
      <c r="B57" s="2" t="s">
        <v>239</v>
      </c>
      <c r="C57" s="2" t="s">
        <v>240</v>
      </c>
      <c r="D57" s="2" t="s">
        <v>41</v>
      </c>
      <c r="E57" s="2" t="s">
        <v>15</v>
      </c>
      <c r="F57" s="2" t="s">
        <v>241</v>
      </c>
      <c r="G57" s="2" t="s">
        <v>729</v>
      </c>
      <c r="H57" s="2" t="s">
        <v>13</v>
      </c>
      <c r="I57" s="2" t="s">
        <v>17</v>
      </c>
      <c r="J57" s="2" t="s">
        <v>242</v>
      </c>
      <c r="K57" s="2" t="s">
        <v>257</v>
      </c>
      <c r="L57" s="2" t="s">
        <v>243</v>
      </c>
      <c r="M57" s="2" t="s">
        <v>102</v>
      </c>
    </row>
    <row r="58" spans="2:13">
      <c r="B58" s="3" t="s">
        <v>244</v>
      </c>
      <c r="C58" s="44">
        <f>C59+C60</f>
        <v>10160</v>
      </c>
      <c r="D58" s="45">
        <f>D59+D60</f>
        <v>605.9</v>
      </c>
      <c r="E58" s="44">
        <f t="shared" ref="E58:L58" si="0">E59+E60</f>
        <v>1530</v>
      </c>
      <c r="F58" s="45">
        <f t="shared" si="0"/>
        <v>147.26799999999997</v>
      </c>
      <c r="G58" s="44">
        <f t="shared" si="0"/>
        <v>452.02269999999999</v>
      </c>
      <c r="H58" s="45">
        <f t="shared" si="0"/>
        <v>1307</v>
      </c>
      <c r="I58" s="44">
        <f t="shared" si="0"/>
        <v>2706.1</v>
      </c>
      <c r="J58" s="45">
        <f t="shared" si="0"/>
        <v>162.87400000000002</v>
      </c>
      <c r="K58" s="44">
        <f t="shared" si="0"/>
        <v>0</v>
      </c>
      <c r="L58" s="45">
        <f t="shared" si="0"/>
        <v>9.1300000000000008</v>
      </c>
      <c r="M58" s="44">
        <f t="shared" ref="M58:M60" si="1">SUM(C58:L58)</f>
        <v>17080.294699999999</v>
      </c>
    </row>
    <row r="59" spans="2:13">
      <c r="B59" s="3" t="s">
        <v>61</v>
      </c>
      <c r="C59" s="44">
        <f>SUMIFS(existingstable[Nameplate Capacity (MW)],existingstable[summary_status],'New South Wales Summary'!$B59,existingstable[summary_bucket],'New South Wales Summary'!C$57) + SUMIFS(existingnstable[Nameplate Capacity (MW)],existingnstable[summary_status],'New South Wales Summary'!$B59,existingnstable[summary_bucket],'New South Wales Summary'!C$57)</f>
        <v>2000</v>
      </c>
      <c r="D59" s="45">
        <f>SUMIFS(existingstable[Nameplate Capacity (MW)],existingstable[summary_status],'New South Wales Summary'!$B59,existingstable[summary_bucket],'New South Wales Summary'!D$57) + SUMIFS(existingnstable[Nameplate Capacity (MW)],existingnstable[summary_status],'New South Wales Summary'!$B59,existingnstable[summary_bucket],'New South Wales Summary'!D$57)</f>
        <v>0</v>
      </c>
      <c r="E59" s="44">
        <f>SUMIFS(existingstable[Nameplate Capacity (MW)],existingstable[summary_status],'New South Wales Summary'!$B59,existingstable[summary_bucket],'New South Wales Summary'!E$57) + SUMIFS(existingnstable[Nameplate Capacity (MW)],existingnstable[summary_status],'New South Wales Summary'!$B59,existingnstable[summary_bucket],'New South Wales Summary'!E$57)</f>
        <v>0</v>
      </c>
      <c r="F59" s="45">
        <f>SUMIFS(existingstable[Nameplate Capacity (MW)],existingstable[summary_status],'New South Wales Summary'!$B59,existingstable[summary_bucket],'New South Wales Summary'!F$57) + SUMIFS(existingnstable[Nameplate Capacity (MW)],existingnstable[summary_status],'New South Wales Summary'!$B59,existingnstable[summary_bucket],'New South Wales Summary'!F$57)</f>
        <v>0</v>
      </c>
      <c r="G59" s="44">
        <f>SUMIFS(existingstable[Nameplate Capacity (MW)],existingstable[summary_status],'New South Wales Summary'!$B59,existingstable[summary_bucket],'New South Wales Summary'!G$57) + SUMIFS(existingnstable[Nameplate Capacity (MW)],existingnstable[summary_status],'New South Wales Summary'!$B59,existingnstable[summary_bucket],'New South Wales Summary'!G$57)</f>
        <v>0</v>
      </c>
      <c r="H59" s="45">
        <f>SUMIFS(existingstable[Nameplate Capacity (MW)],existingstable[summary_status],'New South Wales Summary'!$B59,existingstable[summary_bucket],'New South Wales Summary'!H$57) + SUMIFS(existingnstable[Nameplate Capacity (MW)],existingnstable[summary_status],'New South Wales Summary'!$B59,existingnstable[summary_bucket],'New South Wales Summary'!H$57)</f>
        <v>0</v>
      </c>
      <c r="I59" s="44">
        <f>SUMIFS(existingstable[Nameplate Capacity (MW)],existingstable[summary_status],'New South Wales Summary'!$B59,existingstable[summary_bucket],'New South Wales Summary'!I$57) + SUMIFS(existingnstable[Nameplate Capacity (MW)],existingnstable[summary_status],'New South Wales Summary'!$B59,existingnstable[summary_bucket],'New South Wales Summary'!I$57)</f>
        <v>0</v>
      </c>
      <c r="J59" s="45">
        <f>SUMIFS(existingstable[Nameplate Capacity (MW)],existingstable[summary_status],'New South Wales Summary'!$B59,existingstable[summary_bucket],'New South Wales Summary'!J$57) + SUMIFS(existingnstable[Nameplate Capacity (MW)],existingnstable[summary_status],'New South Wales Summary'!$B59,existingnstable[summary_bucket],'New South Wales Summary'!J$57)</f>
        <v>0</v>
      </c>
      <c r="K59" s="44">
        <f>SUMIFS(existingstable[Nameplate Capacity (MW)],existingstable[summary_status],'New South Wales Summary'!$B59,existingstable[summary_bucket],'New South Wales Summary'!K$57) + SUMIFS(existingnstable[Nameplate Capacity (MW)],existingnstable[summary_status],'New South Wales Summary'!$B59,existingnstable[summary_bucket],'New South Wales Summary'!K$57)</f>
        <v>0</v>
      </c>
      <c r="L59" s="45">
        <f>SUMIFS(existingstable[Nameplate Capacity (MW)],existingstable[summary_status],'New South Wales Summary'!$B59,existingstable[summary_bucket],'New South Wales Summary'!L$57) + SUMIFS(existingnstable[Nameplate Capacity (MW)],existingnstable[summary_status],'New South Wales Summary'!$B59,existingnstable[summary_bucket],'New South Wales Summary'!L$57)</f>
        <v>0</v>
      </c>
      <c r="M59" s="44">
        <f t="shared" si="1"/>
        <v>2000</v>
      </c>
    </row>
    <row r="60" spans="2:13">
      <c r="B60" s="3" t="s">
        <v>245</v>
      </c>
      <c r="C60" s="44">
        <f>SUMIFS(existingstable[Nameplate Capacity (MW)],existingstable[summary_status],'New South Wales Summary'!$B60,existingstable[summary_bucket],'New South Wales Summary'!C$57) + SUMIFS(existingnstable[Nameplate Capacity (MW)],existingnstable[summary_status],'New South Wales Summary'!$B60,existingnstable[summary_bucket],'New South Wales Summary'!C$57)</f>
        <v>8160</v>
      </c>
      <c r="D60" s="45">
        <f>SUMIFS(existingstable[Nameplate Capacity (MW)],existingstable[summary_status],'New South Wales Summary'!$B60,existingstable[summary_bucket],'New South Wales Summary'!D$57) + SUMIFS(existingnstable[Nameplate Capacity (MW)],existingnstable[summary_status],'New South Wales Summary'!$B60,existingnstable[summary_bucket],'New South Wales Summary'!D$57)</f>
        <v>605.9</v>
      </c>
      <c r="E60" s="44">
        <f>SUMIFS(existingstable[Nameplate Capacity (MW)],existingstable[summary_status],'New South Wales Summary'!$B60,existingstable[summary_bucket],'New South Wales Summary'!E$57) + SUMIFS(existingnstable[Nameplate Capacity (MW)],existingnstable[summary_status],'New South Wales Summary'!$B60,existingnstable[summary_bucket],'New South Wales Summary'!E$57)</f>
        <v>1530</v>
      </c>
      <c r="F60" s="45">
        <f>SUMIFS(existingstable[Nameplate Capacity (MW)],existingstable[summary_status],'New South Wales Summary'!$B60,existingstable[summary_bucket],'New South Wales Summary'!F$57) + SUMIFS(existingnstable[Nameplate Capacity (MW)],existingnstable[summary_status],'New South Wales Summary'!$B60,existingnstable[summary_bucket],'New South Wales Summary'!F$57)</f>
        <v>147.26799999999997</v>
      </c>
      <c r="G60" s="44">
        <f>SUMIFS(existingstable[Nameplate Capacity (MW)],existingstable[summary_status],'New South Wales Summary'!$B60,existingstable[summary_bucket],'New South Wales Summary'!G$57) + SUMIFS(existingnstable[Nameplate Capacity (MW)],existingnstable[summary_status],'New South Wales Summary'!$B60,existingnstable[summary_bucket],'New South Wales Summary'!G$57)</f>
        <v>452.02269999999999</v>
      </c>
      <c r="H60" s="45">
        <f>SUMIFS(existingstable[Nameplate Capacity (MW)],existingstable[summary_status],'New South Wales Summary'!$B60,existingstable[summary_bucket],'New South Wales Summary'!H$57) + SUMIFS(existingnstable[Nameplate Capacity (MW)],existingnstable[summary_status],'New South Wales Summary'!$B60,existingnstable[summary_bucket],'New South Wales Summary'!H$57)</f>
        <v>1307</v>
      </c>
      <c r="I60" s="44">
        <f>SUMIFS(existingstable[Nameplate Capacity (MW)],existingstable[summary_status],'New South Wales Summary'!$B60,existingstable[summary_bucket],'New South Wales Summary'!I$57) + SUMIFS(existingnstable[Nameplate Capacity (MW)],existingnstable[summary_status],'New South Wales Summary'!$B60,existingnstable[summary_bucket],'New South Wales Summary'!I$57)</f>
        <v>2706.1</v>
      </c>
      <c r="J60" s="45">
        <f>SUMIFS(existingstable[Nameplate Capacity (MW)],existingstable[summary_status],'New South Wales Summary'!$B60,existingstable[summary_bucket],'New South Wales Summary'!J$57) + SUMIFS(existingnstable[Nameplate Capacity (MW)],existingnstable[summary_status],'New South Wales Summary'!$B60,existingnstable[summary_bucket],'New South Wales Summary'!J$57)</f>
        <v>162.87400000000002</v>
      </c>
      <c r="K60" s="44">
        <f>SUMIFS(existingstable[Nameplate Capacity (MW)],existingstable[summary_status],'New South Wales Summary'!$B60,existingstable[summary_bucket],'New South Wales Summary'!K$57) + SUMIFS(existingnstable[Nameplate Capacity (MW)],existingnstable[summary_status],'New South Wales Summary'!$B60,existingnstable[summary_bucket],'New South Wales Summary'!K$57)</f>
        <v>0</v>
      </c>
      <c r="L60" s="45">
        <f>SUMIFS(existingstable[Nameplate Capacity (MW)],existingstable[summary_status],'New South Wales Summary'!$B60,existingstable[summary_bucket],'New South Wales Summary'!L$57) + SUMIFS(existingnstable[Nameplate Capacity (MW)],existingnstable[summary_status],'New South Wales Summary'!$B60,existingnstable[summary_bucket],'New South Wales Summary'!L$57)</f>
        <v>9.1300000000000008</v>
      </c>
      <c r="M60" s="44">
        <f t="shared" si="1"/>
        <v>15080.294699999999</v>
      </c>
    </row>
    <row r="61" spans="2:13" s="113" customFormat="1">
      <c r="B61" s="3" t="s">
        <v>726</v>
      </c>
      <c r="C61" s="44">
        <f>SUMIFS(newdevtable[nameplatecapacity_mw_max],newdevtable[summary_status],'New South Wales Summary'!$B61,newdevtable[summary_bucket],'New South Wales Summary'!C$57)</f>
        <v>100</v>
      </c>
      <c r="D61" s="45">
        <f>SUMIFS(newdevtable[nameplatecapacity_mw_max],newdevtable[summary_status],'New South Wales Summary'!$B61,newdevtable[summary_bucket],'New South Wales Summary'!D$57)</f>
        <v>0</v>
      </c>
      <c r="E61" s="44">
        <f>SUMIFS(newdevtable[nameplatecapacity_mw_max],newdevtable[summary_status],'New South Wales Summary'!$B61,newdevtable[summary_bucket],'New South Wales Summary'!E$57)</f>
        <v>0</v>
      </c>
      <c r="F61" s="45">
        <f>SUMIFS(newdevtable[nameplatecapacity_mw_max],newdevtable[summary_status],'New South Wales Summary'!$B61,newdevtable[summary_bucket],'New South Wales Summary'!F$57)</f>
        <v>0</v>
      </c>
      <c r="G61" s="44">
        <f>SUMIFS(newdevtable[nameplatecapacity_mw_max],newdevtable[summary_status],'New South Wales Summary'!$B61,newdevtable[summary_bucket],'New South Wales Summary'!G$57)</f>
        <v>0</v>
      </c>
      <c r="H61" s="45">
        <f>SUMIFS(newdevtable[nameplatecapacity_mw_max],newdevtable[summary_status],'New South Wales Summary'!$B61,newdevtable[summary_bucket],'New South Wales Summary'!H$57)</f>
        <v>0</v>
      </c>
      <c r="I61" s="44">
        <f>SUMIFS(newdevtable[nameplatecapacity_mw_max],newdevtable[summary_status],'New South Wales Summary'!$B61,newdevtable[summary_bucket],'New South Wales Summary'!I$57)</f>
        <v>0</v>
      </c>
      <c r="J61" s="45">
        <f>SUMIFS(newdevtable[nameplatecapacity_mw_max],newdevtable[summary_status],'New South Wales Summary'!$B61,newdevtable[summary_bucket],'New South Wales Summary'!J$57)</f>
        <v>0</v>
      </c>
      <c r="K61" s="44">
        <f>SUMIFS(newdevtable[nameplatecapacity_mw_max],newdevtable[summary_status],'New South Wales Summary'!$B61,newdevtable[summary_bucket],'New South Wales Summary'!K$57)</f>
        <v>0</v>
      </c>
      <c r="L61" s="45">
        <f>SUMIFS(newdevtable[nameplatecapacity_mw_max],newdevtable[summary_status],'New South Wales Summary'!$B61,newdevtable[summary_bucket],'New South Wales Summary'!L$57)</f>
        <v>0</v>
      </c>
      <c r="M61" s="44">
        <f t="shared" ref="M61" si="2">SUM(C61:L61)</f>
        <v>100</v>
      </c>
    </row>
    <row r="62" spans="2:13">
      <c r="B62" s="3" t="s">
        <v>246</v>
      </c>
      <c r="C62" s="44">
        <f>SUMIFS(newdevtable[nameplatecapacity_mw_max],newdevtable[summary_status],'New South Wales Summary'!$B62,newdevtable[summary_bucket],'New South Wales Summary'!C$57)</f>
        <v>0</v>
      </c>
      <c r="D62" s="45">
        <f>SUMIFS(newdevtable[nameplatecapacity_mw_max],newdevtable[summary_status],'New South Wales Summary'!$B62,newdevtable[summary_bucket],'New South Wales Summary'!D$57)</f>
        <v>0</v>
      </c>
      <c r="E62" s="44">
        <f>SUMIFS(newdevtable[nameplatecapacity_mw_max],newdevtable[summary_status],'New South Wales Summary'!$B62,newdevtable[summary_bucket],'New South Wales Summary'!E$57)</f>
        <v>0</v>
      </c>
      <c r="F62" s="45">
        <f>SUMIFS(newdevtable[nameplatecapacity_mw_max],newdevtable[summary_status],'New South Wales Summary'!$B62,newdevtable[summary_bucket],'New South Wales Summary'!F$57)</f>
        <v>0</v>
      </c>
      <c r="G62" s="44">
        <f>SUMIFS(newdevtable[nameplatecapacity_mw_max],newdevtable[summary_status],'New South Wales Summary'!$B62,newdevtable[summary_bucket],'New South Wales Summary'!G$57)</f>
        <v>278.39999999999998</v>
      </c>
      <c r="H62" s="45">
        <f>SUMIFS(newdevtable[nameplatecapacity_mw_max],newdevtable[summary_status],'New South Wales Summary'!$B62,newdevtable[summary_bucket],'New South Wales Summary'!H$57)</f>
        <v>339.19</v>
      </c>
      <c r="I62" s="44">
        <f>SUMIFS(newdevtable[nameplatecapacity_mw_max],newdevtable[summary_status],'New South Wales Summary'!$B62,newdevtable[summary_bucket],'New South Wales Summary'!I$57)</f>
        <v>0</v>
      </c>
      <c r="J62" s="45">
        <f>SUMIFS(newdevtable[nameplatecapacity_mw_max],newdevtable[summary_status],'New South Wales Summary'!$B62,newdevtable[summary_bucket],'New South Wales Summary'!J$57)</f>
        <v>0</v>
      </c>
      <c r="K62" s="44">
        <f>SUMIFS(newdevtable[nameplatecapacity_mw_max],newdevtable[summary_status],'New South Wales Summary'!$B62,newdevtable[summary_bucket],'New South Wales Summary'!K$57)</f>
        <v>0</v>
      </c>
      <c r="L62" s="45">
        <f>SUMIFS(newdevtable[nameplatecapacity_mw_max],newdevtable[summary_status],'New South Wales Summary'!$B62,newdevtable[summary_bucket],'New South Wales Summary'!L$57)</f>
        <v>0</v>
      </c>
      <c r="M62" s="44">
        <f t="shared" ref="M62" si="3">SUM(C62:L62)</f>
        <v>617.58999999999992</v>
      </c>
    </row>
    <row r="63" spans="2:13">
      <c r="B63" s="3" t="s">
        <v>247</v>
      </c>
      <c r="C63" s="44">
        <f>SUMIFS(newdevtable[nameplatecapacity_mw_max],newdevtable[summary_status],'New South Wales Summary'!$B63,newdevtable[summary_bucket],'New South Wales Summary'!C$57)</f>
        <v>0</v>
      </c>
      <c r="D63" s="45">
        <f>SUMIFS(newdevtable[nameplatecapacity_mw_max],newdevtable[summary_status],'New South Wales Summary'!$B63,newdevtable[summary_bucket],'New South Wales Summary'!D$57)</f>
        <v>15</v>
      </c>
      <c r="E63" s="44">
        <f>SUMIFS(newdevtable[nameplatecapacity_mw_max],newdevtable[summary_status],'New South Wales Summary'!$B63,newdevtable[summary_bucket],'New South Wales Summary'!E$57)</f>
        <v>0</v>
      </c>
      <c r="F63" s="45">
        <f>SUMIFS(newdevtable[nameplatecapacity_mw_max],newdevtable[summary_status],'New South Wales Summary'!$B63,newdevtable[summary_bucket],'New South Wales Summary'!F$57)</f>
        <v>975</v>
      </c>
      <c r="G63" s="44">
        <f>SUMIFS(newdevtable[nameplatecapacity_mw_max],newdevtable[summary_status],'New South Wales Summary'!$B63,newdevtable[summary_bucket],'New South Wales Summary'!G$57)</f>
        <v>6799.9</v>
      </c>
      <c r="H63" s="45">
        <f>SUMIFS(newdevtable[nameplatecapacity_mw_max],newdevtable[summary_status],'New South Wales Summary'!$B63,newdevtable[summary_bucket],'New South Wales Summary'!H$57)</f>
        <v>5444.52</v>
      </c>
      <c r="I63" s="44">
        <f>SUMIFS(newdevtable[nameplatecapacity_mw_max],newdevtable[summary_status],'New South Wales Summary'!$B63,newdevtable[summary_bucket],'New South Wales Summary'!I$57)</f>
        <v>2000</v>
      </c>
      <c r="J63" s="45">
        <f>SUMIFS(newdevtable[nameplatecapacity_mw_max],newdevtable[summary_status],'New South Wales Summary'!$B63,newdevtable[summary_bucket],'New South Wales Summary'!J$57)</f>
        <v>180.6</v>
      </c>
      <c r="K63" s="44">
        <f>SUMIFS(newdevtable[nameplatecapacity_mw_max],newdevtable[summary_status],'New South Wales Summary'!$B63,newdevtable[summary_bucket],'New South Wales Summary'!K$57)</f>
        <v>0</v>
      </c>
      <c r="L63" s="45">
        <f>SUMIFS(newdevtable[nameplatecapacity_mw_max],newdevtable[summary_status],'New South Wales Summary'!$B63,newdevtable[summary_bucket],'New South Wales Summary'!L$57)</f>
        <v>28.8</v>
      </c>
      <c r="M63" s="44">
        <f>SUM(C63:L63)</f>
        <v>15443.82</v>
      </c>
    </row>
    <row r="64" spans="2:13">
      <c r="B64" s="3" t="s">
        <v>248</v>
      </c>
      <c r="C64" s="44">
        <f>SUMIFS(existingstable[Nameplate Capacity (MW)],existingstable[summary_status],'New South Wales Summary'!$B64,existingstable[summary_bucket],'New South Wales Summary'!C$57) + SUMIFS(existingnstable[Nameplate Capacity (MW)],existingnstable[summary_status],'New South Wales Summary'!$B64,existingnstable[summary_bucket],'New South Wales Summary'!C$57)</f>
        <v>0</v>
      </c>
      <c r="D64" s="45">
        <f>SUMIFS(existingstable[Nameplate Capacity (MW)],existingstable[summary_status],'New South Wales Summary'!$B64,existingstable[summary_bucket],'New South Wales Summary'!D$57) + SUMIFS(existingnstable[Nameplate Capacity (MW)],existingnstable[summary_status],'New South Wales Summary'!$B64,existingnstable[summary_bucket],'New South Wales Summary'!D$57)</f>
        <v>0</v>
      </c>
      <c r="E64" s="44">
        <f>SUMIFS(existingstable[Nameplate Capacity (MW)],existingstable[summary_status],'New South Wales Summary'!$B64,existingstable[summary_bucket],'New South Wales Summary'!E$57) + SUMIFS(existingnstable[Nameplate Capacity (MW)],existingnstable[summary_status],'New South Wales Summary'!$B64,existingnstable[summary_bucket],'New South Wales Summary'!E$57)</f>
        <v>0</v>
      </c>
      <c r="F64" s="45">
        <f>SUMIFS(existingstable[Nameplate Capacity (MW)],existingstable[summary_status],'New South Wales Summary'!$B64,existingstable[summary_bucket],'New South Wales Summary'!F$57) + SUMIFS(existingnstable[Nameplate Capacity (MW)],existingnstable[summary_status],'New South Wales Summary'!$B64,existingnstable[summary_bucket],'New South Wales Summary'!F$57)</f>
        <v>0</v>
      </c>
      <c r="G64" s="44">
        <f>SUMIFS(existingstable[Nameplate Capacity (MW)],existingstable[summary_status],'New South Wales Summary'!$B64,existingstable[summary_bucket],'New South Wales Summary'!G$57) + SUMIFS(existingnstable[Nameplate Capacity (MW)],existingnstable[summary_status],'New South Wales Summary'!$B64,existingnstable[summary_bucket],'New South Wales Summary'!G$57)</f>
        <v>0</v>
      </c>
      <c r="H64" s="45">
        <f>SUMIFS(existingstable[Nameplate Capacity (MW)],existingstable[summary_status],'New South Wales Summary'!$B64,existingstable[summary_bucket],'New South Wales Summary'!H$57) + SUMIFS(existingnstable[Nameplate Capacity (MW)],existingnstable[summary_status],'New South Wales Summary'!$B64,existingnstable[summary_bucket],'New South Wales Summary'!H$57)</f>
        <v>0</v>
      </c>
      <c r="I64" s="44">
        <f>SUMIFS(existingstable[Nameplate Capacity (MW)],existingstable[summary_status],'New South Wales Summary'!$B64,existingstable[summary_bucket],'New South Wales Summary'!I$57) + SUMIFS(existingnstable[Nameplate Capacity (MW)],existingnstable[summary_status],'New South Wales Summary'!$B64,existingnstable[summary_bucket],'New South Wales Summary'!I$57)</f>
        <v>0</v>
      </c>
      <c r="J64" s="45">
        <f>SUMIFS(existingstable[Nameplate Capacity (MW)],existingstable[summary_status],'New South Wales Summary'!$B64,existingstable[summary_bucket],'New South Wales Summary'!J$57) + SUMIFS(existingnstable[Nameplate Capacity (MW)],existingnstable[summary_status],'New South Wales Summary'!$B64,existingnstable[summary_bucket],'New South Wales Summary'!J$57)</f>
        <v>0</v>
      </c>
      <c r="K64" s="44">
        <f>SUMIFS(existingstable[Nameplate Capacity (MW)],existingstable[summary_status],'New South Wales Summary'!$B64,existingstable[summary_bucket],'New South Wales Summary'!K$57) + SUMIFS(existingnstable[Nameplate Capacity (MW)],existingnstable[summary_status],'New South Wales Summary'!$B64,existingnstable[summary_bucket],'New South Wales Summary'!K$57)</f>
        <v>0</v>
      </c>
      <c r="L64" s="45">
        <f>SUMIFS(existingstable[Nameplate Capacity (MW)],existingstable[summary_status],'New South Wales Summary'!$B64,existingstable[summary_bucket],'New South Wales Summary'!L$57) + SUMIFS(existingnstable[Nameplate Capacity (MW)],existingnstable[summary_status],'New South Wales Summary'!$B64,existingnstable[summary_bucket],'New South Wales Summary'!L$57)</f>
        <v>0</v>
      </c>
      <c r="M64" s="44">
        <f>SUM(C64:L64)</f>
        <v>0</v>
      </c>
    </row>
    <row r="65" spans="2:12">
      <c r="B65" s="140" t="s">
        <v>249</v>
      </c>
      <c r="C65" s="141"/>
      <c r="D65" s="141"/>
      <c r="E65" s="141"/>
      <c r="F65" s="141"/>
      <c r="G65" s="141"/>
      <c r="H65" s="141"/>
      <c r="I65" s="141"/>
      <c r="J65" s="141"/>
      <c r="K65" s="141"/>
      <c r="L65" s="141"/>
    </row>
    <row r="66" spans="2:12">
      <c r="B66" s="115" t="s">
        <v>730</v>
      </c>
      <c r="C66" s="116"/>
      <c r="D66" s="116"/>
      <c r="E66" s="116"/>
      <c r="F66" s="116"/>
      <c r="G66" s="116"/>
      <c r="H66" s="116"/>
      <c r="I66" s="116"/>
      <c r="J66" s="116"/>
      <c r="K66" s="116"/>
    </row>
  </sheetData>
  <mergeCells count="10">
    <mergeCell ref="B65:L65"/>
    <mergeCell ref="B12:K12"/>
    <mergeCell ref="B16:F16"/>
    <mergeCell ref="B18:K18"/>
    <mergeCell ref="B21:K21"/>
    <mergeCell ref="B24:K24"/>
    <mergeCell ref="B25:K25"/>
    <mergeCell ref="B26:K26"/>
    <mergeCell ref="B13:K13"/>
    <mergeCell ref="B14:K14"/>
  </mergeCells>
  <hyperlinks>
    <hyperlink ref="B5" r:id="rId1"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23"/>
  <sheetViews>
    <sheetView showGridLines="0" workbookViewId="0"/>
  </sheetViews>
  <sheetFormatPr defaultRowHeight="15"/>
  <cols>
    <col min="1" max="1" width="4.7109375" customWidth="1"/>
  </cols>
  <sheetData>
    <row r="1" spans="1:14" ht="20.25" thickBot="1">
      <c r="A1" s="29"/>
      <c r="B1" s="49" t="s">
        <v>549</v>
      </c>
      <c r="C1" s="29"/>
      <c r="D1" s="29"/>
      <c r="E1" s="29"/>
      <c r="F1" s="29"/>
      <c r="G1" s="29"/>
      <c r="H1" s="29"/>
      <c r="I1" s="29"/>
      <c r="J1" s="29"/>
      <c r="K1" s="29"/>
      <c r="L1" s="29"/>
      <c r="M1" s="29"/>
      <c r="N1" s="29"/>
    </row>
    <row r="2" spans="1:14">
      <c r="A2" s="29"/>
      <c r="B2" s="46" t="s">
        <v>577</v>
      </c>
      <c r="C2" s="29"/>
      <c r="D2" s="29"/>
      <c r="E2" s="29"/>
      <c r="F2" s="29"/>
      <c r="G2" s="29"/>
      <c r="H2" s="29"/>
      <c r="I2" s="29"/>
      <c r="J2" s="29"/>
      <c r="K2" s="29"/>
      <c r="L2" s="29"/>
      <c r="M2" s="29"/>
      <c r="N2" s="29"/>
    </row>
    <row r="3" spans="1:14">
      <c r="A3" s="29"/>
      <c r="B3" s="29"/>
      <c r="C3" s="29"/>
      <c r="D3" s="29"/>
      <c r="E3" s="29"/>
      <c r="F3" s="29"/>
      <c r="G3" s="29"/>
      <c r="H3" s="29"/>
      <c r="I3" s="29"/>
      <c r="J3" s="29"/>
      <c r="K3" s="29"/>
      <c r="L3" s="29"/>
      <c r="M3" s="29"/>
      <c r="N3" s="29"/>
    </row>
    <row r="4" spans="1:14">
      <c r="A4" s="29"/>
      <c r="B4" s="32" t="s">
        <v>482</v>
      </c>
      <c r="C4" s="29"/>
      <c r="D4" s="47">
        <v>41263</v>
      </c>
      <c r="E4" s="29"/>
      <c r="F4" s="29"/>
      <c r="G4" s="29"/>
      <c r="H4" s="29"/>
      <c r="I4" s="29"/>
      <c r="J4" s="29"/>
      <c r="K4" s="29"/>
      <c r="L4" s="29"/>
      <c r="M4" s="29"/>
      <c r="N4" s="29"/>
    </row>
    <row r="5" spans="1:14">
      <c r="A5" s="29"/>
      <c r="B5" s="46" t="s">
        <v>483</v>
      </c>
      <c r="C5" s="29"/>
      <c r="D5" s="29"/>
      <c r="E5" s="29"/>
      <c r="F5" s="29"/>
      <c r="G5" s="29"/>
      <c r="H5" s="29"/>
      <c r="I5" s="29"/>
      <c r="J5" s="29"/>
      <c r="K5" s="29"/>
      <c r="L5" s="29"/>
      <c r="M5" s="29"/>
      <c r="N5" s="29"/>
    </row>
    <row r="6" spans="1:14">
      <c r="A6" s="29"/>
      <c r="B6" s="29"/>
      <c r="C6" s="29"/>
      <c r="D6" s="29"/>
      <c r="E6" s="29"/>
      <c r="F6" s="29"/>
      <c r="G6" s="29"/>
      <c r="H6" s="29"/>
      <c r="I6" s="29"/>
      <c r="J6" s="29"/>
      <c r="K6" s="29"/>
      <c r="L6" s="29"/>
      <c r="M6" s="29"/>
      <c r="N6" s="29"/>
    </row>
    <row r="7" spans="1:14">
      <c r="A7" s="29"/>
      <c r="B7" s="32" t="s">
        <v>482</v>
      </c>
      <c r="C7" s="29"/>
      <c r="D7" s="47">
        <v>41327</v>
      </c>
      <c r="E7" s="29"/>
      <c r="F7" s="29"/>
      <c r="G7" s="29"/>
      <c r="H7" s="29"/>
      <c r="I7" s="29"/>
      <c r="J7" s="29"/>
      <c r="K7" s="29"/>
      <c r="L7" s="29"/>
      <c r="M7" s="29"/>
      <c r="N7" s="29"/>
    </row>
    <row r="8" spans="1:14" ht="45.75" customHeight="1">
      <c r="A8" s="29"/>
      <c r="B8" s="150" t="s">
        <v>484</v>
      </c>
      <c r="C8" s="144"/>
      <c r="D8" s="144"/>
      <c r="E8" s="144"/>
      <c r="F8" s="144"/>
      <c r="G8" s="144"/>
      <c r="H8" s="144"/>
      <c r="I8" s="144"/>
      <c r="J8" s="144"/>
      <c r="K8" s="144"/>
      <c r="L8" s="144"/>
      <c r="M8" s="144"/>
      <c r="N8" s="29"/>
    </row>
    <row r="9" spans="1:14" ht="35.25" customHeight="1">
      <c r="A9" s="29"/>
      <c r="B9" s="150" t="s">
        <v>485</v>
      </c>
      <c r="C9" s="144"/>
      <c r="D9" s="144"/>
      <c r="E9" s="144"/>
      <c r="F9" s="144"/>
      <c r="G9" s="144"/>
      <c r="H9" s="144"/>
      <c r="I9" s="144"/>
      <c r="J9" s="144"/>
      <c r="K9" s="144"/>
      <c r="L9" s="144"/>
      <c r="M9" s="144"/>
      <c r="N9" s="29"/>
    </row>
    <row r="10" spans="1:14">
      <c r="A10" s="29"/>
      <c r="B10" s="29"/>
      <c r="C10" s="29"/>
      <c r="D10" s="29"/>
      <c r="E10" s="29"/>
      <c r="F10" s="29"/>
      <c r="G10" s="29"/>
      <c r="H10" s="29"/>
      <c r="I10" s="29"/>
      <c r="J10" s="29"/>
      <c r="K10" s="29"/>
      <c r="L10" s="29"/>
      <c r="M10" s="29"/>
      <c r="N10" s="29"/>
    </row>
    <row r="11" spans="1:14">
      <c r="A11" s="29"/>
      <c r="B11" s="32" t="s">
        <v>482</v>
      </c>
      <c r="C11" s="29"/>
      <c r="D11" s="47">
        <v>41455</v>
      </c>
      <c r="E11" s="29"/>
      <c r="F11" s="29"/>
      <c r="G11" s="29"/>
      <c r="H11" s="29"/>
      <c r="I11" s="29"/>
      <c r="J11" s="29"/>
      <c r="K11" s="29"/>
      <c r="L11" s="29"/>
      <c r="M11" s="29"/>
      <c r="N11" s="29"/>
    </row>
    <row r="12" spans="1:14" ht="30" customHeight="1">
      <c r="A12" s="29"/>
      <c r="B12" s="150" t="s">
        <v>486</v>
      </c>
      <c r="C12" s="150"/>
      <c r="D12" s="150"/>
      <c r="E12" s="150"/>
      <c r="F12" s="150"/>
      <c r="G12" s="150"/>
      <c r="H12" s="150"/>
      <c r="I12" s="150"/>
      <c r="J12" s="150"/>
      <c r="K12" s="150"/>
      <c r="L12" s="150"/>
      <c r="M12" s="150"/>
      <c r="N12" s="29"/>
    </row>
    <row r="13" spans="1:14" ht="30.75" customHeight="1">
      <c r="A13" s="29"/>
      <c r="B13" s="150" t="s">
        <v>487</v>
      </c>
      <c r="C13" s="150"/>
      <c r="D13" s="150"/>
      <c r="E13" s="150"/>
      <c r="F13" s="150"/>
      <c r="G13" s="150"/>
      <c r="H13" s="150"/>
      <c r="I13" s="150"/>
      <c r="J13" s="150"/>
      <c r="K13" s="150"/>
      <c r="L13" s="150"/>
      <c r="M13" s="150"/>
      <c r="N13" s="29"/>
    </row>
    <row r="14" spans="1:14" ht="30" customHeight="1">
      <c r="A14" s="29"/>
      <c r="B14" s="144" t="s">
        <v>488</v>
      </c>
      <c r="C14" s="144"/>
      <c r="D14" s="144"/>
      <c r="E14" s="144"/>
      <c r="F14" s="144"/>
      <c r="G14" s="144"/>
      <c r="H14" s="144"/>
      <c r="I14" s="144"/>
      <c r="J14" s="144"/>
      <c r="K14" s="144"/>
      <c r="L14" s="144"/>
      <c r="M14" s="144"/>
      <c r="N14" s="29"/>
    </row>
    <row r="15" spans="1:14" ht="26.25" customHeight="1">
      <c r="A15" s="29"/>
      <c r="B15" s="144" t="s">
        <v>489</v>
      </c>
      <c r="C15" s="144"/>
      <c r="D15" s="144"/>
      <c r="E15" s="144"/>
      <c r="F15" s="144"/>
      <c r="G15" s="144"/>
      <c r="H15" s="144"/>
      <c r="I15" s="144"/>
      <c r="J15" s="144"/>
      <c r="K15" s="144"/>
      <c r="L15" s="29"/>
      <c r="M15" s="29"/>
      <c r="N15" s="29"/>
    </row>
    <row r="16" spans="1:14" ht="15" customHeight="1">
      <c r="A16" s="29"/>
      <c r="B16" s="48" t="s">
        <v>490</v>
      </c>
      <c r="C16" s="29"/>
      <c r="D16" s="29"/>
      <c r="E16" s="29"/>
      <c r="F16" s="29"/>
      <c r="G16" s="29"/>
      <c r="H16" s="29"/>
      <c r="I16" s="29"/>
      <c r="J16" s="29"/>
      <c r="K16" s="29"/>
      <c r="L16" s="29"/>
      <c r="M16" s="29"/>
      <c r="N16" s="29"/>
    </row>
    <row r="17" spans="1:14">
      <c r="A17" s="29"/>
      <c r="B17" s="29"/>
      <c r="C17" s="29"/>
      <c r="D17" s="29"/>
      <c r="E17" s="29"/>
      <c r="F17" s="29"/>
      <c r="G17" s="29"/>
      <c r="H17" s="29"/>
      <c r="I17" s="29"/>
      <c r="J17" s="29"/>
      <c r="K17" s="29"/>
      <c r="L17" s="29"/>
      <c r="M17" s="29"/>
      <c r="N17" s="29"/>
    </row>
    <row r="18" spans="1:14">
      <c r="A18" s="29"/>
      <c r="B18" s="32" t="s">
        <v>482</v>
      </c>
      <c r="C18" s="29"/>
      <c r="D18" s="47">
        <v>41499</v>
      </c>
      <c r="E18" s="29"/>
      <c r="F18" s="29"/>
      <c r="G18" s="29"/>
      <c r="H18" s="29"/>
      <c r="I18" s="29"/>
      <c r="J18" s="29"/>
      <c r="K18" s="29"/>
      <c r="L18" s="29"/>
      <c r="M18" s="29"/>
      <c r="N18" s="29"/>
    </row>
    <row r="19" spans="1:14" ht="28.5" customHeight="1">
      <c r="A19" s="29"/>
      <c r="B19" s="144" t="s">
        <v>491</v>
      </c>
      <c r="C19" s="144"/>
      <c r="D19" s="144"/>
      <c r="E19" s="144"/>
      <c r="F19" s="144"/>
      <c r="G19" s="144"/>
      <c r="H19" s="144"/>
      <c r="I19" s="144"/>
      <c r="J19" s="144"/>
      <c r="K19" s="144"/>
      <c r="L19" s="29"/>
      <c r="M19" s="29"/>
      <c r="N19" s="29"/>
    </row>
    <row r="20" spans="1:14" ht="26.25" customHeight="1">
      <c r="A20" s="29"/>
      <c r="B20" s="144" t="s">
        <v>492</v>
      </c>
      <c r="C20" s="144"/>
      <c r="D20" s="144"/>
      <c r="E20" s="144"/>
      <c r="F20" s="144"/>
      <c r="G20" s="144"/>
      <c r="H20" s="144"/>
      <c r="I20" s="144"/>
      <c r="J20" s="144"/>
      <c r="K20" s="144"/>
      <c r="L20" s="29"/>
      <c r="M20" s="29"/>
      <c r="N20" s="29"/>
    </row>
    <row r="21" spans="1:14">
      <c r="A21" s="29"/>
      <c r="B21" s="29"/>
      <c r="C21" s="29"/>
      <c r="D21" s="29"/>
      <c r="E21" s="29"/>
      <c r="F21" s="29"/>
      <c r="G21" s="29"/>
      <c r="H21" s="29"/>
      <c r="I21" s="29"/>
      <c r="J21" s="29"/>
      <c r="K21" s="29"/>
      <c r="L21" s="29"/>
      <c r="M21" s="29"/>
      <c r="N21" s="29"/>
    </row>
    <row r="22" spans="1:14">
      <c r="A22" s="29"/>
      <c r="B22" s="32" t="s">
        <v>482</v>
      </c>
      <c r="C22" s="29"/>
      <c r="D22" s="47">
        <v>41593</v>
      </c>
      <c r="E22" s="29"/>
      <c r="F22" s="29"/>
      <c r="G22" s="29"/>
      <c r="H22" s="29"/>
      <c r="I22" s="29"/>
      <c r="J22" s="29"/>
      <c r="K22" s="29"/>
      <c r="L22" s="29"/>
      <c r="M22" s="29"/>
      <c r="N22" s="29"/>
    </row>
    <row r="23" spans="1:14" ht="18.75" customHeight="1">
      <c r="A23" s="29"/>
      <c r="B23" s="48" t="s">
        <v>493</v>
      </c>
      <c r="C23" s="43"/>
      <c r="D23" s="43"/>
      <c r="E23" s="43"/>
      <c r="F23" s="43"/>
      <c r="G23" s="43"/>
      <c r="H23" s="43"/>
      <c r="I23" s="43"/>
      <c r="J23" s="43"/>
      <c r="K23" s="43"/>
      <c r="L23" s="29"/>
      <c r="M23" s="29"/>
      <c r="N23" s="29"/>
    </row>
    <row r="24" spans="1:14" ht="40.5" customHeight="1">
      <c r="A24" s="29"/>
      <c r="B24" s="144" t="s">
        <v>494</v>
      </c>
      <c r="C24" s="144"/>
      <c r="D24" s="144"/>
      <c r="E24" s="144"/>
      <c r="F24" s="144"/>
      <c r="G24" s="144"/>
      <c r="H24" s="144"/>
      <c r="I24" s="144"/>
      <c r="J24" s="144"/>
      <c r="K24" s="144"/>
      <c r="L24" s="43"/>
      <c r="M24" s="43"/>
      <c r="N24" s="29"/>
    </row>
    <row r="25" spans="1:14" ht="36.75" customHeight="1">
      <c r="A25" s="29"/>
      <c r="B25" s="144" t="s">
        <v>495</v>
      </c>
      <c r="C25" s="144"/>
      <c r="D25" s="144"/>
      <c r="E25" s="144"/>
      <c r="F25" s="144"/>
      <c r="G25" s="144"/>
      <c r="H25" s="144"/>
      <c r="I25" s="144"/>
      <c r="J25" s="144"/>
      <c r="K25" s="144"/>
      <c r="L25" s="43"/>
      <c r="M25" s="43"/>
      <c r="N25" s="29"/>
    </row>
    <row r="26" spans="1:14" ht="36" customHeight="1">
      <c r="A26" s="29"/>
      <c r="B26" s="144" t="s">
        <v>496</v>
      </c>
      <c r="C26" s="144"/>
      <c r="D26" s="144"/>
      <c r="E26" s="144"/>
      <c r="F26" s="144"/>
      <c r="G26" s="144"/>
      <c r="H26" s="144"/>
      <c r="I26" s="144"/>
      <c r="J26" s="144"/>
      <c r="K26" s="144"/>
      <c r="L26" s="43"/>
      <c r="M26" s="43"/>
      <c r="N26" s="29"/>
    </row>
    <row r="27" spans="1:14" ht="33" customHeight="1">
      <c r="A27" s="29"/>
      <c r="B27" s="144" t="s">
        <v>497</v>
      </c>
      <c r="C27" s="144"/>
      <c r="D27" s="144"/>
      <c r="E27" s="144"/>
      <c r="F27" s="144"/>
      <c r="G27" s="144"/>
      <c r="H27" s="144"/>
      <c r="I27" s="144"/>
      <c r="J27" s="144"/>
      <c r="K27" s="144"/>
      <c r="L27" s="43"/>
      <c r="M27" s="43"/>
      <c r="N27" s="29"/>
    </row>
    <row r="28" spans="1:14" ht="25.5" customHeight="1">
      <c r="A28" s="29"/>
      <c r="B28" s="144" t="s">
        <v>498</v>
      </c>
      <c r="C28" s="144"/>
      <c r="D28" s="144"/>
      <c r="E28" s="144"/>
      <c r="F28" s="144"/>
      <c r="G28" s="144"/>
      <c r="H28" s="144"/>
      <c r="I28" s="144"/>
      <c r="J28" s="144"/>
      <c r="K28" s="144"/>
      <c r="L28" s="43"/>
      <c r="M28" s="43"/>
      <c r="N28" s="29"/>
    </row>
    <row r="29" spans="1:14">
      <c r="A29" s="29"/>
      <c r="B29" s="29"/>
      <c r="C29" s="29"/>
      <c r="D29" s="29"/>
      <c r="E29" s="29"/>
      <c r="F29" s="29"/>
      <c r="G29" s="29"/>
      <c r="H29" s="29"/>
      <c r="I29" s="29"/>
      <c r="J29" s="29"/>
      <c r="K29" s="29"/>
      <c r="L29" s="29"/>
      <c r="M29" s="29"/>
      <c r="N29" s="29"/>
    </row>
    <row r="30" spans="1:14">
      <c r="A30" s="29"/>
      <c r="B30" s="32" t="s">
        <v>482</v>
      </c>
      <c r="C30" s="29"/>
      <c r="D30" s="47">
        <v>41698</v>
      </c>
      <c r="E30" s="29"/>
      <c r="F30" s="29"/>
      <c r="G30" s="29"/>
      <c r="H30" s="29"/>
      <c r="I30" s="29"/>
      <c r="J30" s="29"/>
      <c r="K30" s="29"/>
      <c r="L30" s="29"/>
      <c r="M30" s="29"/>
      <c r="N30" s="29"/>
    </row>
    <row r="31" spans="1:14" ht="24" customHeight="1">
      <c r="A31" s="29"/>
      <c r="B31" s="144" t="s">
        <v>499</v>
      </c>
      <c r="C31" s="144"/>
      <c r="D31" s="144"/>
      <c r="E31" s="144"/>
      <c r="F31" s="144"/>
      <c r="G31" s="144"/>
      <c r="H31" s="144"/>
      <c r="I31" s="144"/>
      <c r="J31" s="144"/>
      <c r="K31" s="144"/>
      <c r="L31" s="29"/>
      <c r="M31" s="29"/>
      <c r="N31" s="29"/>
    </row>
    <row r="32" spans="1:14" ht="42" customHeight="1">
      <c r="A32" s="29"/>
      <c r="B32" s="144" t="s">
        <v>500</v>
      </c>
      <c r="C32" s="144"/>
      <c r="D32" s="144"/>
      <c r="E32" s="144"/>
      <c r="F32" s="144"/>
      <c r="G32" s="144"/>
      <c r="H32" s="144"/>
      <c r="I32" s="144"/>
      <c r="J32" s="144"/>
      <c r="K32" s="144"/>
      <c r="L32" s="29"/>
      <c r="M32" s="29"/>
      <c r="N32" s="29"/>
    </row>
    <row r="33" spans="1:14" ht="39" customHeight="1">
      <c r="A33" s="29"/>
      <c r="B33" s="144" t="s">
        <v>501</v>
      </c>
      <c r="C33" s="144"/>
      <c r="D33" s="144"/>
      <c r="E33" s="144"/>
      <c r="F33" s="144"/>
      <c r="G33" s="144"/>
      <c r="H33" s="144"/>
      <c r="I33" s="144"/>
      <c r="J33" s="144"/>
      <c r="K33" s="144"/>
      <c r="L33" s="29"/>
      <c r="M33" s="29"/>
      <c r="N33" s="29"/>
    </row>
    <row r="34" spans="1:14">
      <c r="A34" s="29"/>
      <c r="B34" s="29"/>
      <c r="C34" s="29"/>
      <c r="D34" s="29"/>
      <c r="E34" s="29"/>
      <c r="F34" s="29"/>
      <c r="G34" s="29"/>
      <c r="H34" s="29"/>
      <c r="I34" s="29"/>
      <c r="J34" s="29"/>
      <c r="K34" s="29"/>
      <c r="L34" s="29"/>
      <c r="M34" s="29"/>
      <c r="N34" s="29"/>
    </row>
    <row r="35" spans="1:14">
      <c r="A35" s="29"/>
      <c r="B35" s="32" t="s">
        <v>482</v>
      </c>
      <c r="C35" s="29"/>
      <c r="D35" s="47">
        <v>41789</v>
      </c>
      <c r="E35" s="29"/>
      <c r="F35" s="29"/>
      <c r="G35" s="29"/>
      <c r="H35" s="29"/>
      <c r="I35" s="29"/>
      <c r="J35" s="29"/>
      <c r="K35" s="29"/>
      <c r="L35" s="29"/>
      <c r="M35" s="29"/>
      <c r="N35" s="29"/>
    </row>
    <row r="36" spans="1:14" ht="32.25" customHeight="1">
      <c r="A36" s="29"/>
      <c r="B36" s="150" t="s">
        <v>502</v>
      </c>
      <c r="C36" s="150"/>
      <c r="D36" s="150"/>
      <c r="E36" s="150"/>
      <c r="F36" s="150"/>
      <c r="G36" s="150"/>
      <c r="H36" s="150"/>
      <c r="I36" s="150"/>
      <c r="J36" s="150"/>
      <c r="K36" s="150"/>
      <c r="L36" s="150"/>
      <c r="M36" s="150"/>
      <c r="N36" s="29"/>
    </row>
    <row r="37" spans="1:14" ht="42" customHeight="1">
      <c r="A37" s="29"/>
      <c r="B37" s="145" t="s">
        <v>503</v>
      </c>
      <c r="C37" s="145"/>
      <c r="D37" s="145"/>
      <c r="E37" s="145"/>
      <c r="F37" s="145"/>
      <c r="G37" s="145"/>
      <c r="H37" s="145"/>
      <c r="I37" s="145"/>
      <c r="J37" s="145"/>
      <c r="K37" s="145"/>
      <c r="L37" s="145"/>
      <c r="M37" s="145"/>
      <c r="N37" s="29"/>
    </row>
    <row r="38" spans="1:14" ht="36.75" customHeight="1">
      <c r="A38" s="29"/>
      <c r="B38" s="144" t="s">
        <v>504</v>
      </c>
      <c r="C38" s="144"/>
      <c r="D38" s="144"/>
      <c r="E38" s="144"/>
      <c r="F38" s="144"/>
      <c r="G38" s="144"/>
      <c r="H38" s="144"/>
      <c r="I38" s="144"/>
      <c r="J38" s="144"/>
      <c r="K38" s="144"/>
      <c r="L38" s="29"/>
      <c r="M38" s="29"/>
      <c r="N38" s="29"/>
    </row>
    <row r="39" spans="1:14" ht="24" customHeight="1">
      <c r="A39" s="29"/>
      <c r="B39" s="144" t="s">
        <v>505</v>
      </c>
      <c r="C39" s="144"/>
      <c r="D39" s="144"/>
      <c r="E39" s="144"/>
      <c r="F39" s="144"/>
      <c r="G39" s="144"/>
      <c r="H39" s="144"/>
      <c r="I39" s="144"/>
      <c r="J39" s="144"/>
      <c r="K39" s="144"/>
      <c r="L39" s="29"/>
      <c r="M39" s="29"/>
      <c r="N39" s="29"/>
    </row>
    <row r="40" spans="1:14">
      <c r="A40" s="29"/>
      <c r="B40" s="29"/>
      <c r="C40" s="29"/>
      <c r="D40" s="29"/>
      <c r="E40" s="29"/>
      <c r="F40" s="29"/>
      <c r="G40" s="29"/>
      <c r="H40" s="29"/>
      <c r="I40" s="29"/>
      <c r="J40" s="29"/>
      <c r="K40" s="29"/>
      <c r="L40" s="29"/>
      <c r="M40" s="29"/>
      <c r="N40" s="29"/>
    </row>
    <row r="41" spans="1:14">
      <c r="A41" s="29"/>
      <c r="B41" s="32" t="s">
        <v>482</v>
      </c>
      <c r="C41" s="46"/>
      <c r="D41" s="47">
        <v>41858</v>
      </c>
      <c r="E41" s="29"/>
      <c r="F41" s="29"/>
      <c r="G41" s="29"/>
      <c r="H41" s="29"/>
      <c r="I41" s="29"/>
      <c r="J41" s="29"/>
      <c r="K41" s="29"/>
      <c r="L41" s="29"/>
      <c r="M41" s="29"/>
      <c r="N41" s="29"/>
    </row>
    <row r="42" spans="1:14" ht="24.75" customHeight="1">
      <c r="A42" s="29"/>
      <c r="B42" s="145" t="s">
        <v>749</v>
      </c>
      <c r="C42" s="144"/>
      <c r="D42" s="144"/>
      <c r="E42" s="144"/>
      <c r="F42" s="144"/>
      <c r="G42" s="144"/>
      <c r="H42" s="144"/>
      <c r="I42" s="144"/>
      <c r="J42" s="144"/>
      <c r="K42" s="144"/>
      <c r="L42" s="29"/>
      <c r="M42" s="29"/>
      <c r="N42" s="29"/>
    </row>
    <row r="43" spans="1:14" ht="27.75" customHeight="1">
      <c r="A43" s="29"/>
      <c r="B43" s="145" t="s">
        <v>506</v>
      </c>
      <c r="C43" s="144"/>
      <c r="D43" s="144"/>
      <c r="E43" s="144"/>
      <c r="F43" s="144"/>
      <c r="G43" s="144"/>
      <c r="H43" s="144"/>
      <c r="I43" s="144"/>
      <c r="J43" s="144"/>
      <c r="K43" s="144"/>
      <c r="L43" s="29"/>
      <c r="M43" s="29"/>
      <c r="N43" s="29"/>
    </row>
    <row r="44" spans="1:14">
      <c r="A44" s="29"/>
      <c r="B44" s="29"/>
      <c r="C44" s="29"/>
      <c r="D44" s="29"/>
      <c r="E44" s="29"/>
      <c r="F44" s="29"/>
      <c r="G44" s="29"/>
      <c r="H44" s="29"/>
      <c r="I44" s="29"/>
      <c r="J44" s="29"/>
      <c r="K44" s="29"/>
      <c r="L44" s="29"/>
      <c r="M44" s="29"/>
      <c r="N44" s="29"/>
    </row>
    <row r="45" spans="1:14">
      <c r="A45" s="29"/>
      <c r="B45" s="32" t="s">
        <v>482</v>
      </c>
      <c r="C45" s="46"/>
      <c r="D45" s="47">
        <v>41983</v>
      </c>
      <c r="E45" s="29"/>
      <c r="F45" s="29"/>
      <c r="G45" s="29"/>
      <c r="H45" s="29"/>
      <c r="I45" s="29"/>
      <c r="J45" s="29"/>
      <c r="K45" s="29"/>
      <c r="L45" s="29"/>
      <c r="M45" s="29"/>
      <c r="N45" s="29"/>
    </row>
    <row r="46" spans="1:14" ht="28.5" customHeight="1">
      <c r="A46" s="29"/>
      <c r="B46" s="144" t="s">
        <v>507</v>
      </c>
      <c r="C46" s="144"/>
      <c r="D46" s="144"/>
      <c r="E46" s="144"/>
      <c r="F46" s="144"/>
      <c r="G46" s="144"/>
      <c r="H46" s="144"/>
      <c r="I46" s="144"/>
      <c r="J46" s="144"/>
      <c r="K46" s="144"/>
      <c r="L46" s="29"/>
      <c r="M46" s="29"/>
      <c r="N46" s="29"/>
    </row>
    <row r="47" spans="1:14" ht="28.5" customHeight="1">
      <c r="A47" s="29"/>
      <c r="B47" s="144" t="s">
        <v>508</v>
      </c>
      <c r="C47" s="144"/>
      <c r="D47" s="144"/>
      <c r="E47" s="144"/>
      <c r="F47" s="144"/>
      <c r="G47" s="144"/>
      <c r="H47" s="144"/>
      <c r="I47" s="144"/>
      <c r="J47" s="144"/>
      <c r="K47" s="144"/>
      <c r="L47" s="29"/>
      <c r="M47" s="29"/>
      <c r="N47" s="29"/>
    </row>
    <row r="48" spans="1:14" ht="26.25" customHeight="1">
      <c r="A48" s="29"/>
      <c r="B48" s="144" t="s">
        <v>509</v>
      </c>
      <c r="C48" s="144"/>
      <c r="D48" s="144"/>
      <c r="E48" s="144"/>
      <c r="F48" s="144"/>
      <c r="G48" s="144"/>
      <c r="H48" s="144"/>
      <c r="I48" s="144"/>
      <c r="J48" s="144"/>
      <c r="K48" s="144"/>
      <c r="L48" s="29"/>
      <c r="M48" s="29"/>
      <c r="N48" s="29"/>
    </row>
    <row r="49" spans="1:14" ht="27" customHeight="1">
      <c r="A49" s="29"/>
      <c r="B49" s="145" t="s">
        <v>750</v>
      </c>
      <c r="C49" s="144"/>
      <c r="D49" s="144"/>
      <c r="E49" s="144"/>
      <c r="F49" s="144"/>
      <c r="G49" s="144"/>
      <c r="H49" s="144"/>
      <c r="I49" s="144"/>
      <c r="J49" s="144"/>
      <c r="K49" s="144"/>
      <c r="L49" s="29"/>
      <c r="M49" s="29"/>
      <c r="N49" s="29"/>
    </row>
    <row r="50" spans="1:14" ht="38.25" customHeight="1">
      <c r="A50" s="29"/>
      <c r="B50" s="144" t="s">
        <v>510</v>
      </c>
      <c r="C50" s="144"/>
      <c r="D50" s="144"/>
      <c r="E50" s="144"/>
      <c r="F50" s="144"/>
      <c r="G50" s="144"/>
      <c r="H50" s="144"/>
      <c r="I50" s="144"/>
      <c r="J50" s="144"/>
      <c r="K50" s="144"/>
      <c r="L50" s="29"/>
      <c r="M50" s="29"/>
      <c r="N50" s="29"/>
    </row>
    <row r="51" spans="1:14" ht="23.25" customHeight="1">
      <c r="A51" s="29"/>
      <c r="B51" s="144" t="s">
        <v>511</v>
      </c>
      <c r="C51" s="144"/>
      <c r="D51" s="144"/>
      <c r="E51" s="144"/>
      <c r="F51" s="144"/>
      <c r="G51" s="144"/>
      <c r="H51" s="144"/>
      <c r="I51" s="144"/>
      <c r="J51" s="144"/>
      <c r="K51" s="144"/>
      <c r="L51" s="29"/>
      <c r="M51" s="29"/>
      <c r="N51" s="29"/>
    </row>
    <row r="52" spans="1:14" ht="28.5" customHeight="1">
      <c r="A52" s="29"/>
      <c r="B52" s="144" t="s">
        <v>512</v>
      </c>
      <c r="C52" s="144"/>
      <c r="D52" s="144"/>
      <c r="E52" s="144"/>
      <c r="F52" s="144"/>
      <c r="G52" s="144"/>
      <c r="H52" s="144"/>
      <c r="I52" s="144"/>
      <c r="J52" s="144"/>
      <c r="K52" s="144"/>
      <c r="L52" s="29"/>
      <c r="M52" s="29"/>
      <c r="N52" s="29"/>
    </row>
    <row r="53" spans="1:14" ht="28.5" customHeight="1">
      <c r="A53" s="29"/>
      <c r="B53" s="144" t="s">
        <v>751</v>
      </c>
      <c r="C53" s="144"/>
      <c r="D53" s="144"/>
      <c r="E53" s="144"/>
      <c r="F53" s="144"/>
      <c r="G53" s="144"/>
      <c r="H53" s="144"/>
      <c r="I53" s="144"/>
      <c r="J53" s="144"/>
      <c r="K53" s="144"/>
      <c r="L53" s="29"/>
      <c r="M53" s="29"/>
      <c r="N53" s="29"/>
    </row>
    <row r="54" spans="1:14">
      <c r="A54" s="29"/>
      <c r="B54" s="29"/>
      <c r="C54" s="29"/>
      <c r="D54" s="29"/>
      <c r="E54" s="29"/>
      <c r="F54" s="29"/>
      <c r="G54" s="29"/>
      <c r="H54" s="29"/>
      <c r="I54" s="29"/>
      <c r="J54" s="29"/>
      <c r="K54" s="29"/>
      <c r="L54" s="29"/>
      <c r="M54" s="29"/>
      <c r="N54" s="29"/>
    </row>
    <row r="55" spans="1:14">
      <c r="A55" s="29"/>
      <c r="B55" s="32" t="s">
        <v>482</v>
      </c>
      <c r="C55" s="46"/>
      <c r="D55" s="47">
        <v>42109</v>
      </c>
      <c r="E55" s="29"/>
      <c r="F55" s="29"/>
      <c r="G55" s="29"/>
      <c r="H55" s="29"/>
      <c r="I55" s="29"/>
      <c r="J55" s="29"/>
      <c r="K55" s="29"/>
      <c r="L55" s="29"/>
      <c r="M55" s="29"/>
      <c r="N55" s="29"/>
    </row>
    <row r="56" spans="1:14" ht="24.75" customHeight="1">
      <c r="A56" s="29"/>
      <c r="B56" s="145" t="s">
        <v>513</v>
      </c>
      <c r="C56" s="145"/>
      <c r="D56" s="145"/>
      <c r="E56" s="145"/>
      <c r="F56" s="145"/>
      <c r="G56" s="145"/>
      <c r="H56" s="145"/>
      <c r="I56" s="145"/>
      <c r="J56" s="145"/>
      <c r="K56" s="145"/>
      <c r="L56" s="29"/>
      <c r="M56" s="29"/>
      <c r="N56" s="29"/>
    </row>
    <row r="57" spans="1:14" ht="30" customHeight="1">
      <c r="A57" s="29"/>
      <c r="B57" s="145" t="s">
        <v>514</v>
      </c>
      <c r="C57" s="145"/>
      <c r="D57" s="145"/>
      <c r="E57" s="145"/>
      <c r="F57" s="145"/>
      <c r="G57" s="145"/>
      <c r="H57" s="145"/>
      <c r="I57" s="145"/>
      <c r="J57" s="145"/>
      <c r="K57" s="145"/>
      <c r="L57" s="29"/>
      <c r="M57" s="29"/>
      <c r="N57" s="29"/>
    </row>
    <row r="58" spans="1:14" ht="29.25" customHeight="1">
      <c r="A58" s="29"/>
      <c r="B58" s="145" t="s">
        <v>515</v>
      </c>
      <c r="C58" s="145"/>
      <c r="D58" s="145"/>
      <c r="E58" s="145"/>
      <c r="F58" s="145"/>
      <c r="G58" s="145"/>
      <c r="H58" s="145"/>
      <c r="I58" s="145"/>
      <c r="J58" s="145"/>
      <c r="K58" s="145"/>
      <c r="L58" s="29"/>
      <c r="M58" s="29"/>
      <c r="N58" s="29"/>
    </row>
    <row r="59" spans="1:14" ht="27.75" customHeight="1">
      <c r="A59" s="29"/>
      <c r="B59" s="145" t="s">
        <v>516</v>
      </c>
      <c r="C59" s="145"/>
      <c r="D59" s="145"/>
      <c r="E59" s="145"/>
      <c r="F59" s="145"/>
      <c r="G59" s="145"/>
      <c r="H59" s="145"/>
      <c r="I59" s="145"/>
      <c r="J59" s="145"/>
      <c r="K59" s="145"/>
      <c r="L59" s="29"/>
      <c r="M59" s="29"/>
      <c r="N59" s="29"/>
    </row>
    <row r="60" spans="1:14" ht="27.75" customHeight="1">
      <c r="A60" s="29"/>
      <c r="B60" s="144" t="s">
        <v>517</v>
      </c>
      <c r="C60" s="144"/>
      <c r="D60" s="144"/>
      <c r="E60" s="144"/>
      <c r="F60" s="144"/>
      <c r="G60" s="144"/>
      <c r="H60" s="144"/>
      <c r="I60" s="144"/>
      <c r="J60" s="144"/>
      <c r="K60" s="144"/>
      <c r="L60" s="29"/>
      <c r="M60" s="29"/>
      <c r="N60" s="29"/>
    </row>
    <row r="61" spans="1:14" ht="28.5" customHeight="1">
      <c r="A61" s="29"/>
      <c r="B61" s="144" t="s">
        <v>518</v>
      </c>
      <c r="C61" s="144"/>
      <c r="D61" s="144"/>
      <c r="E61" s="144"/>
      <c r="F61" s="144"/>
      <c r="G61" s="144"/>
      <c r="H61" s="144"/>
      <c r="I61" s="144"/>
      <c r="J61" s="144"/>
      <c r="K61" s="144"/>
      <c r="L61" s="29"/>
      <c r="M61" s="29"/>
      <c r="N61" s="29"/>
    </row>
    <row r="62" spans="1:14">
      <c r="A62" s="29"/>
      <c r="B62" s="29"/>
      <c r="C62" s="29"/>
      <c r="D62" s="29"/>
      <c r="E62" s="29"/>
      <c r="F62" s="29"/>
      <c r="G62" s="29"/>
      <c r="H62" s="29"/>
      <c r="I62" s="29"/>
      <c r="J62" s="29"/>
      <c r="K62" s="29"/>
      <c r="L62" s="29"/>
      <c r="M62" s="29"/>
      <c r="N62" s="29"/>
    </row>
    <row r="63" spans="1:14">
      <c r="A63" s="29"/>
      <c r="B63" s="32" t="s">
        <v>482</v>
      </c>
      <c r="C63" s="46"/>
      <c r="D63" s="47">
        <v>42229</v>
      </c>
      <c r="E63" s="29"/>
      <c r="F63" s="29"/>
      <c r="G63" s="29"/>
      <c r="H63" s="29"/>
      <c r="I63" s="29"/>
      <c r="J63" s="29"/>
      <c r="K63" s="29"/>
      <c r="L63" s="29"/>
      <c r="M63" s="29"/>
      <c r="N63" s="29"/>
    </row>
    <row r="64" spans="1:14" ht="30.75" customHeight="1">
      <c r="A64" s="29"/>
      <c r="B64" s="145" t="s">
        <v>519</v>
      </c>
      <c r="C64" s="145"/>
      <c r="D64" s="145"/>
      <c r="E64" s="145"/>
      <c r="F64" s="145"/>
      <c r="G64" s="145"/>
      <c r="H64" s="145"/>
      <c r="I64" s="145"/>
      <c r="J64" s="145"/>
      <c r="K64" s="145"/>
      <c r="L64" s="29"/>
      <c r="M64" s="29"/>
      <c r="N64" s="29"/>
    </row>
    <row r="65" spans="1:14" ht="26.25" customHeight="1">
      <c r="A65" s="29"/>
      <c r="B65" s="145" t="s">
        <v>752</v>
      </c>
      <c r="C65" s="145"/>
      <c r="D65" s="145"/>
      <c r="E65" s="145"/>
      <c r="F65" s="145"/>
      <c r="G65" s="145"/>
      <c r="H65" s="145"/>
      <c r="I65" s="145"/>
      <c r="J65" s="145"/>
      <c r="K65" s="145"/>
      <c r="L65" s="29"/>
      <c r="M65" s="29"/>
      <c r="N65" s="29"/>
    </row>
    <row r="66" spans="1:14" ht="26.25" customHeight="1">
      <c r="A66" s="29"/>
      <c r="B66" s="144" t="s">
        <v>520</v>
      </c>
      <c r="C66" s="144"/>
      <c r="D66" s="144"/>
      <c r="E66" s="144"/>
      <c r="F66" s="144"/>
      <c r="G66" s="144"/>
      <c r="H66" s="144"/>
      <c r="I66" s="144"/>
      <c r="J66" s="144"/>
      <c r="K66" s="144"/>
      <c r="L66" s="29"/>
      <c r="M66" s="29"/>
      <c r="N66" s="29"/>
    </row>
    <row r="67" spans="1:14" ht="15" customHeight="1">
      <c r="A67" s="29"/>
      <c r="B67" s="144" t="s">
        <v>521</v>
      </c>
      <c r="C67" s="144"/>
      <c r="D67" s="144"/>
      <c r="E67" s="144"/>
      <c r="F67" s="144"/>
      <c r="G67" s="144"/>
      <c r="H67" s="144"/>
      <c r="I67" s="144"/>
      <c r="J67" s="144"/>
      <c r="K67" s="144"/>
      <c r="L67" s="29"/>
      <c r="M67" s="29"/>
      <c r="N67" s="29"/>
    </row>
    <row r="68" spans="1:14" ht="24.75" customHeight="1">
      <c r="A68" s="29"/>
      <c r="B68" s="144" t="s">
        <v>522</v>
      </c>
      <c r="C68" s="144"/>
      <c r="D68" s="144"/>
      <c r="E68" s="144"/>
      <c r="F68" s="144"/>
      <c r="G68" s="144"/>
      <c r="H68" s="144"/>
      <c r="I68" s="144"/>
      <c r="J68" s="144"/>
      <c r="K68" s="144"/>
      <c r="L68" s="29"/>
      <c r="M68" s="29"/>
      <c r="N68" s="29"/>
    </row>
    <row r="69" spans="1:14" ht="24.75" customHeight="1">
      <c r="A69" s="29"/>
      <c r="B69" s="144" t="s">
        <v>511</v>
      </c>
      <c r="C69" s="144"/>
      <c r="D69" s="144"/>
      <c r="E69" s="144"/>
      <c r="F69" s="144"/>
      <c r="G69" s="144"/>
      <c r="H69" s="144"/>
      <c r="I69" s="144"/>
      <c r="J69" s="144"/>
      <c r="K69" s="144"/>
      <c r="L69" s="29"/>
      <c r="M69" s="29"/>
      <c r="N69" s="29"/>
    </row>
    <row r="70" spans="1:14">
      <c r="A70" s="29"/>
      <c r="B70" s="29"/>
      <c r="C70" s="29"/>
      <c r="D70" s="29"/>
      <c r="E70" s="29"/>
      <c r="F70" s="29"/>
      <c r="G70" s="29"/>
      <c r="H70" s="29"/>
      <c r="I70" s="29"/>
      <c r="J70" s="29"/>
      <c r="K70" s="29"/>
      <c r="L70" s="29"/>
      <c r="M70" s="29"/>
      <c r="N70" s="29"/>
    </row>
    <row r="71" spans="1:14">
      <c r="A71" s="29"/>
      <c r="B71" s="32" t="s">
        <v>482</v>
      </c>
      <c r="C71" s="46"/>
      <c r="D71" s="47">
        <v>42300</v>
      </c>
      <c r="E71" s="29"/>
      <c r="F71" s="29"/>
      <c r="G71" s="29"/>
      <c r="H71" s="29"/>
      <c r="I71" s="29"/>
      <c r="J71" s="29"/>
      <c r="K71" s="29"/>
      <c r="L71" s="29"/>
      <c r="M71" s="29"/>
      <c r="N71" s="29"/>
    </row>
    <row r="72" spans="1:14" ht="27.75" customHeight="1">
      <c r="A72" s="29"/>
      <c r="B72" s="144" t="s">
        <v>523</v>
      </c>
      <c r="C72" s="144"/>
      <c r="D72" s="144"/>
      <c r="E72" s="144"/>
      <c r="F72" s="144"/>
      <c r="G72" s="144"/>
      <c r="H72" s="144"/>
      <c r="I72" s="144"/>
      <c r="J72" s="144"/>
      <c r="K72" s="144"/>
      <c r="L72" s="29"/>
      <c r="M72" s="29"/>
      <c r="N72" s="29"/>
    </row>
    <row r="73" spans="1:14">
      <c r="A73" s="29"/>
      <c r="B73" s="29"/>
      <c r="C73" s="29"/>
      <c r="D73" s="29"/>
      <c r="E73" s="29"/>
      <c r="F73" s="29"/>
      <c r="G73" s="29"/>
      <c r="H73" s="29"/>
      <c r="I73" s="29"/>
      <c r="J73" s="29"/>
      <c r="K73" s="29"/>
      <c r="L73" s="29"/>
      <c r="M73" s="29"/>
      <c r="N73" s="29"/>
    </row>
    <row r="74" spans="1:14">
      <c r="A74" s="29"/>
      <c r="B74" s="32" t="s">
        <v>482</v>
      </c>
      <c r="C74" s="46"/>
      <c r="D74" s="47">
        <v>42432</v>
      </c>
      <c r="E74" s="29"/>
      <c r="F74" s="29"/>
      <c r="G74" s="29"/>
      <c r="H74" s="29"/>
      <c r="I74" s="29"/>
      <c r="J74" s="29"/>
      <c r="K74" s="29"/>
      <c r="L74" s="29"/>
      <c r="M74" s="29"/>
      <c r="N74" s="29"/>
    </row>
    <row r="75" spans="1:14" ht="24.75" customHeight="1">
      <c r="A75" s="29"/>
      <c r="B75" s="145" t="s">
        <v>524</v>
      </c>
      <c r="C75" s="145"/>
      <c r="D75" s="145"/>
      <c r="E75" s="145"/>
      <c r="F75" s="145"/>
      <c r="G75" s="145"/>
      <c r="H75" s="145"/>
      <c r="I75" s="145"/>
      <c r="J75" s="145"/>
      <c r="K75" s="145"/>
      <c r="L75" s="29"/>
      <c r="M75" s="29"/>
      <c r="N75" s="29"/>
    </row>
    <row r="76" spans="1:14" ht="27.75" customHeight="1">
      <c r="A76" s="29"/>
      <c r="B76" s="145" t="s">
        <v>525</v>
      </c>
      <c r="C76" s="145"/>
      <c r="D76" s="145"/>
      <c r="E76" s="145"/>
      <c r="F76" s="145"/>
      <c r="G76" s="145"/>
      <c r="H76" s="145"/>
      <c r="I76" s="145"/>
      <c r="J76" s="145"/>
      <c r="K76" s="145"/>
      <c r="L76" s="29"/>
      <c r="M76" s="29"/>
      <c r="N76" s="29"/>
    </row>
    <row r="77" spans="1:14" ht="27" customHeight="1">
      <c r="A77" s="29"/>
      <c r="B77" s="145" t="s">
        <v>526</v>
      </c>
      <c r="C77" s="145"/>
      <c r="D77" s="145"/>
      <c r="E77" s="145"/>
      <c r="F77" s="145"/>
      <c r="G77" s="145"/>
      <c r="H77" s="145"/>
      <c r="I77" s="145"/>
      <c r="J77" s="145"/>
      <c r="K77" s="145"/>
      <c r="L77" s="29"/>
      <c r="M77" s="29"/>
      <c r="N77" s="29"/>
    </row>
    <row r="78" spans="1:14">
      <c r="A78" s="29"/>
      <c r="B78" s="29"/>
      <c r="C78" s="29"/>
      <c r="D78" s="29"/>
      <c r="E78" s="29"/>
      <c r="F78" s="29"/>
      <c r="G78" s="29"/>
      <c r="H78" s="29"/>
      <c r="I78" s="29"/>
      <c r="J78" s="29"/>
      <c r="K78" s="29"/>
      <c r="L78" s="29"/>
      <c r="M78" s="29"/>
      <c r="N78" s="29"/>
    </row>
    <row r="79" spans="1:14">
      <c r="A79" s="29"/>
      <c r="B79" s="32" t="s">
        <v>482</v>
      </c>
      <c r="C79" s="46"/>
      <c r="D79" s="47">
        <v>42475</v>
      </c>
      <c r="E79" s="29"/>
      <c r="F79" s="29"/>
      <c r="G79" s="29"/>
      <c r="H79" s="29"/>
      <c r="I79" s="29"/>
      <c r="J79" s="29"/>
      <c r="K79" s="29"/>
      <c r="L79" s="29"/>
      <c r="M79" s="29"/>
      <c r="N79" s="29"/>
    </row>
    <row r="80" spans="1:14" ht="27" customHeight="1">
      <c r="A80" s="29"/>
      <c r="B80" s="145" t="s">
        <v>524</v>
      </c>
      <c r="C80" s="145"/>
      <c r="D80" s="145"/>
      <c r="E80" s="145"/>
      <c r="F80" s="145"/>
      <c r="G80" s="145"/>
      <c r="H80" s="145"/>
      <c r="I80" s="145"/>
      <c r="J80" s="145"/>
      <c r="K80" s="145"/>
      <c r="L80" s="29"/>
      <c r="M80" s="29"/>
      <c r="N80" s="29"/>
    </row>
    <row r="81" spans="1:14" ht="27" customHeight="1">
      <c r="A81" s="29"/>
      <c r="B81" s="145" t="s">
        <v>525</v>
      </c>
      <c r="C81" s="145"/>
      <c r="D81" s="145"/>
      <c r="E81" s="145"/>
      <c r="F81" s="145"/>
      <c r="G81" s="145"/>
      <c r="H81" s="145"/>
      <c r="I81" s="145"/>
      <c r="J81" s="145"/>
      <c r="K81" s="145"/>
      <c r="L81" s="29"/>
      <c r="M81" s="29"/>
      <c r="N81" s="29"/>
    </row>
    <row r="82" spans="1:14" ht="27" customHeight="1">
      <c r="A82" s="29"/>
      <c r="B82" s="145" t="s">
        <v>526</v>
      </c>
      <c r="C82" s="145"/>
      <c r="D82" s="145"/>
      <c r="E82" s="145"/>
      <c r="F82" s="145"/>
      <c r="G82" s="145"/>
      <c r="H82" s="145"/>
      <c r="I82" s="145"/>
      <c r="J82" s="145"/>
      <c r="K82" s="145"/>
      <c r="L82" s="29"/>
      <c r="M82" s="29"/>
      <c r="N82" s="29"/>
    </row>
    <row r="83" spans="1:14">
      <c r="A83" s="29"/>
      <c r="B83" s="29"/>
      <c r="C83" s="29"/>
      <c r="D83" s="29"/>
      <c r="E83" s="29"/>
      <c r="F83" s="29"/>
      <c r="G83" s="29"/>
      <c r="H83" s="29"/>
      <c r="I83" s="29"/>
      <c r="J83" s="29"/>
      <c r="K83" s="29"/>
      <c r="L83" s="29"/>
      <c r="M83" s="29"/>
      <c r="N83" s="29"/>
    </row>
    <row r="84" spans="1:14">
      <c r="A84" s="29"/>
      <c r="B84" s="32" t="s">
        <v>482</v>
      </c>
      <c r="C84" s="46"/>
      <c r="D84" s="47">
        <v>42593</v>
      </c>
      <c r="E84" s="29"/>
      <c r="F84" s="29"/>
      <c r="G84" s="29"/>
      <c r="H84" s="29"/>
      <c r="I84" s="29"/>
      <c r="J84" s="29"/>
      <c r="K84" s="29"/>
      <c r="L84" s="29"/>
      <c r="M84" s="29"/>
      <c r="N84" s="29"/>
    </row>
    <row r="85" spans="1:14" ht="24.75" customHeight="1">
      <c r="A85" s="29"/>
      <c r="B85" s="145" t="s">
        <v>527</v>
      </c>
      <c r="C85" s="145"/>
      <c r="D85" s="145"/>
      <c r="E85" s="145"/>
      <c r="F85" s="145"/>
      <c r="G85" s="145"/>
      <c r="H85" s="145"/>
      <c r="I85" s="145"/>
      <c r="J85" s="145"/>
      <c r="K85" s="145"/>
      <c r="L85" s="29"/>
      <c r="M85" s="29"/>
      <c r="N85" s="29"/>
    </row>
    <row r="86" spans="1:14" ht="18" customHeight="1">
      <c r="A86" s="29"/>
      <c r="B86" s="145" t="s">
        <v>528</v>
      </c>
      <c r="C86" s="145"/>
      <c r="D86" s="145"/>
      <c r="E86" s="145"/>
      <c r="F86" s="145"/>
      <c r="G86" s="145"/>
      <c r="H86" s="145"/>
      <c r="I86" s="145"/>
      <c r="J86" s="145"/>
      <c r="K86" s="145"/>
      <c r="L86" s="29"/>
      <c r="M86" s="29"/>
      <c r="N86" s="29"/>
    </row>
    <row r="87" spans="1:14" ht="24.75" customHeight="1">
      <c r="A87" s="29"/>
      <c r="B87" s="146" t="s">
        <v>529</v>
      </c>
      <c r="C87" s="146"/>
      <c r="D87" s="146"/>
      <c r="E87" s="146"/>
      <c r="F87" s="146"/>
      <c r="G87" s="146"/>
      <c r="H87" s="146"/>
      <c r="I87" s="146"/>
      <c r="J87" s="146"/>
      <c r="K87" s="146"/>
      <c r="L87" s="29"/>
      <c r="M87" s="29"/>
      <c r="N87" s="29"/>
    </row>
    <row r="88" spans="1:14" ht="23.25" customHeight="1">
      <c r="A88" s="29"/>
      <c r="B88" s="146" t="s">
        <v>530</v>
      </c>
      <c r="C88" s="146"/>
      <c r="D88" s="146"/>
      <c r="E88" s="146"/>
      <c r="F88" s="146"/>
      <c r="G88" s="146"/>
      <c r="H88" s="146"/>
      <c r="I88" s="146"/>
      <c r="J88" s="146"/>
      <c r="K88" s="146"/>
      <c r="L88" s="29"/>
      <c r="M88" s="29"/>
      <c r="N88" s="29"/>
    </row>
    <row r="89" spans="1:14" ht="30" customHeight="1">
      <c r="A89" s="29"/>
      <c r="B89" s="145" t="s">
        <v>753</v>
      </c>
      <c r="C89" s="145"/>
      <c r="D89" s="145"/>
      <c r="E89" s="145"/>
      <c r="F89" s="145"/>
      <c r="G89" s="145"/>
      <c r="H89" s="145"/>
      <c r="I89" s="145"/>
      <c r="J89" s="145"/>
      <c r="K89" s="145"/>
      <c r="L89" s="29"/>
      <c r="M89" s="29"/>
      <c r="N89" s="29"/>
    </row>
    <row r="90" spans="1:14">
      <c r="A90" s="29"/>
      <c r="B90" s="145"/>
      <c r="C90" s="145"/>
      <c r="D90" s="145"/>
      <c r="E90" s="145"/>
      <c r="F90" s="145"/>
      <c r="G90" s="145"/>
      <c r="H90" s="145"/>
      <c r="I90" s="145"/>
      <c r="J90" s="145"/>
      <c r="K90" s="145"/>
      <c r="L90" s="29"/>
      <c r="M90" s="29"/>
      <c r="N90" s="29"/>
    </row>
    <row r="91" spans="1:14">
      <c r="A91" s="29"/>
      <c r="B91" s="32" t="s">
        <v>482</v>
      </c>
      <c r="C91" s="46"/>
      <c r="D91" s="47">
        <v>42692</v>
      </c>
      <c r="E91" s="29"/>
      <c r="F91" s="29"/>
      <c r="G91" s="29"/>
      <c r="H91" s="29"/>
      <c r="I91" s="29"/>
      <c r="J91" s="29"/>
      <c r="K91" s="29"/>
      <c r="L91" s="29"/>
      <c r="M91" s="29"/>
      <c r="N91" s="29"/>
    </row>
    <row r="92" spans="1:14" ht="41.25" customHeight="1">
      <c r="A92" s="29"/>
      <c r="B92" s="144" t="s">
        <v>531</v>
      </c>
      <c r="C92" s="144"/>
      <c r="D92" s="144"/>
      <c r="E92" s="144"/>
      <c r="F92" s="144"/>
      <c r="G92" s="144"/>
      <c r="H92" s="144"/>
      <c r="I92" s="144"/>
      <c r="J92" s="144"/>
      <c r="K92" s="144"/>
      <c r="L92" s="29"/>
      <c r="M92" s="29"/>
      <c r="N92" s="29"/>
    </row>
    <row r="93" spans="1:14">
      <c r="A93" s="29"/>
      <c r="B93" s="29"/>
      <c r="C93" s="29"/>
      <c r="D93" s="29"/>
      <c r="E93" s="29"/>
      <c r="F93" s="29"/>
      <c r="G93" s="29"/>
      <c r="H93" s="29"/>
      <c r="I93" s="29"/>
      <c r="J93" s="29"/>
      <c r="K93" s="29"/>
      <c r="L93" s="29"/>
      <c r="M93" s="29"/>
      <c r="N93" s="29"/>
    </row>
    <row r="94" spans="1:14">
      <c r="A94" s="29"/>
      <c r="B94" s="32" t="s">
        <v>482</v>
      </c>
      <c r="C94" s="46"/>
      <c r="D94" s="47">
        <v>42793</v>
      </c>
      <c r="E94" s="29"/>
      <c r="F94" s="29"/>
      <c r="G94" s="29"/>
      <c r="H94" s="29"/>
      <c r="I94" s="29"/>
      <c r="J94" s="29"/>
      <c r="K94" s="29"/>
      <c r="L94" s="29"/>
      <c r="M94" s="29"/>
      <c r="N94" s="29"/>
    </row>
    <row r="95" spans="1:14" ht="15" customHeight="1">
      <c r="A95" s="29"/>
      <c r="B95" s="144" t="s">
        <v>532</v>
      </c>
      <c r="C95" s="144"/>
      <c r="D95" s="144"/>
      <c r="E95" s="144"/>
      <c r="F95" s="144"/>
      <c r="G95" s="144"/>
      <c r="H95" s="144"/>
      <c r="I95" s="144"/>
      <c r="J95" s="144"/>
      <c r="K95" s="144"/>
      <c r="L95" s="29"/>
      <c r="M95" s="29"/>
      <c r="N95" s="29"/>
    </row>
    <row r="96" spans="1:14" ht="15" customHeight="1">
      <c r="A96" s="29"/>
      <c r="B96" s="144" t="s">
        <v>533</v>
      </c>
      <c r="C96" s="144"/>
      <c r="D96" s="144"/>
      <c r="E96" s="144"/>
      <c r="F96" s="144"/>
      <c r="G96" s="144"/>
      <c r="H96" s="144"/>
      <c r="I96" s="144"/>
      <c r="J96" s="144"/>
      <c r="K96" s="144"/>
      <c r="L96" s="29"/>
      <c r="M96" s="29"/>
      <c r="N96" s="29"/>
    </row>
    <row r="97" spans="1:14" ht="23.25" customHeight="1">
      <c r="A97" s="29"/>
      <c r="B97" s="145" t="s">
        <v>534</v>
      </c>
      <c r="C97" s="145"/>
      <c r="D97" s="145"/>
      <c r="E97" s="145"/>
      <c r="F97" s="145"/>
      <c r="G97" s="145"/>
      <c r="H97" s="145"/>
      <c r="I97" s="145"/>
      <c r="J97" s="145"/>
      <c r="K97" s="145"/>
      <c r="L97" s="29"/>
      <c r="M97" s="29"/>
      <c r="N97" s="29"/>
    </row>
    <row r="98" spans="1:14" ht="24.75" customHeight="1">
      <c r="A98" s="29"/>
      <c r="B98" s="148" t="s">
        <v>535</v>
      </c>
      <c r="C98" s="148"/>
      <c r="D98" s="148"/>
      <c r="E98" s="148"/>
      <c r="F98" s="148"/>
      <c r="G98" s="148"/>
      <c r="H98" s="148"/>
      <c r="I98" s="148"/>
      <c r="J98" s="148"/>
      <c r="K98" s="148"/>
      <c r="L98" s="29"/>
      <c r="M98" s="29"/>
      <c r="N98" s="29"/>
    </row>
    <row r="99" spans="1:14">
      <c r="A99" s="29"/>
      <c r="B99" s="29"/>
      <c r="C99" s="29"/>
      <c r="D99" s="29"/>
      <c r="E99" s="29"/>
      <c r="F99" s="29"/>
      <c r="G99" s="29"/>
      <c r="H99" s="29"/>
      <c r="I99" s="29"/>
      <c r="J99" s="29"/>
      <c r="K99" s="29"/>
      <c r="L99" s="29"/>
      <c r="M99" s="29"/>
      <c r="N99" s="29"/>
    </row>
    <row r="100" spans="1:14">
      <c r="A100" s="29"/>
      <c r="B100" s="32" t="s">
        <v>482</v>
      </c>
      <c r="C100" s="46"/>
      <c r="D100" s="47">
        <v>42891</v>
      </c>
      <c r="E100" s="29"/>
      <c r="F100" s="29"/>
      <c r="G100" s="29"/>
      <c r="H100" s="29"/>
      <c r="I100" s="29"/>
      <c r="J100" s="29"/>
      <c r="K100" s="29"/>
      <c r="L100" s="29"/>
      <c r="M100" s="29"/>
      <c r="N100" s="29"/>
    </row>
    <row r="101" spans="1:14" ht="29.25" customHeight="1">
      <c r="A101" s="29"/>
      <c r="B101" s="144" t="s">
        <v>536</v>
      </c>
      <c r="C101" s="144"/>
      <c r="D101" s="144"/>
      <c r="E101" s="144"/>
      <c r="F101" s="144"/>
      <c r="G101" s="144"/>
      <c r="H101" s="144"/>
      <c r="I101" s="144"/>
      <c r="J101" s="144"/>
      <c r="K101" s="144"/>
      <c r="L101" s="29"/>
      <c r="M101" s="29"/>
      <c r="N101" s="29"/>
    </row>
    <row r="102" spans="1:14" ht="29.25" customHeight="1">
      <c r="A102" s="29"/>
      <c r="B102" s="144" t="s">
        <v>537</v>
      </c>
      <c r="C102" s="144"/>
      <c r="D102" s="144"/>
      <c r="E102" s="144"/>
      <c r="F102" s="144"/>
      <c r="G102" s="144"/>
      <c r="H102" s="144"/>
      <c r="I102" s="144"/>
      <c r="J102" s="144"/>
      <c r="K102" s="144"/>
      <c r="L102" s="29"/>
      <c r="M102" s="29"/>
      <c r="N102" s="29"/>
    </row>
    <row r="103" spans="1:14" ht="24" customHeight="1">
      <c r="A103" s="29"/>
      <c r="B103" s="145" t="s">
        <v>538</v>
      </c>
      <c r="C103" s="145"/>
      <c r="D103" s="145"/>
      <c r="E103" s="145"/>
      <c r="F103" s="145"/>
      <c r="G103" s="145"/>
      <c r="H103" s="145"/>
      <c r="I103" s="145"/>
      <c r="J103" s="145"/>
      <c r="K103" s="145"/>
      <c r="L103" s="29"/>
      <c r="M103" s="29"/>
      <c r="N103" s="29"/>
    </row>
    <row r="104" spans="1:14">
      <c r="A104" s="29"/>
      <c r="B104" s="29"/>
      <c r="C104" s="29"/>
      <c r="D104" s="29"/>
      <c r="E104" s="29"/>
      <c r="F104" s="29"/>
      <c r="G104" s="29"/>
      <c r="H104" s="29"/>
      <c r="I104" s="29"/>
      <c r="J104" s="29"/>
      <c r="K104" s="29"/>
      <c r="L104" s="29"/>
      <c r="M104" s="29"/>
      <c r="N104" s="29"/>
    </row>
    <row r="105" spans="1:14">
      <c r="A105" s="29"/>
      <c r="B105" s="32" t="s">
        <v>482</v>
      </c>
      <c r="C105" s="46"/>
      <c r="D105" s="47">
        <v>43091</v>
      </c>
      <c r="E105" s="29"/>
      <c r="F105" s="29"/>
      <c r="G105" s="29"/>
      <c r="H105" s="29"/>
      <c r="I105" s="29"/>
      <c r="J105" s="29"/>
      <c r="K105" s="29"/>
      <c r="L105" s="29"/>
      <c r="M105" s="29"/>
      <c r="N105" s="29"/>
    </row>
    <row r="106" spans="1:14" ht="40.5" customHeight="1">
      <c r="A106" s="29"/>
      <c r="B106" s="148" t="s">
        <v>539</v>
      </c>
      <c r="C106" s="148"/>
      <c r="D106" s="148"/>
      <c r="E106" s="148"/>
      <c r="F106" s="148"/>
      <c r="G106" s="148"/>
      <c r="H106" s="148"/>
      <c r="I106" s="148"/>
      <c r="J106" s="148"/>
      <c r="K106" s="148"/>
      <c r="L106" s="29"/>
      <c r="M106" s="29"/>
      <c r="N106" s="29"/>
    </row>
    <row r="107" spans="1:14" ht="26.25" customHeight="1">
      <c r="A107" s="29"/>
      <c r="B107" s="148" t="s">
        <v>540</v>
      </c>
      <c r="C107" s="148"/>
      <c r="D107" s="148"/>
      <c r="E107" s="148"/>
      <c r="F107" s="148"/>
      <c r="G107" s="148"/>
      <c r="H107" s="148"/>
      <c r="I107" s="148"/>
      <c r="J107" s="148"/>
      <c r="K107" s="148"/>
      <c r="L107" s="29"/>
      <c r="M107" s="29"/>
      <c r="N107" s="29"/>
    </row>
    <row r="108" spans="1:14" ht="26.25" customHeight="1">
      <c r="A108" s="29"/>
      <c r="B108" s="149" t="s">
        <v>541</v>
      </c>
      <c r="C108" s="149"/>
      <c r="D108" s="149"/>
      <c r="E108" s="149"/>
      <c r="F108" s="149"/>
      <c r="G108" s="149"/>
      <c r="H108" s="149"/>
      <c r="I108" s="149"/>
      <c r="J108" s="149"/>
      <c r="K108" s="149"/>
      <c r="L108" s="29"/>
      <c r="M108" s="29"/>
      <c r="N108" s="29"/>
    </row>
    <row r="109" spans="1:14" ht="26.25" customHeight="1">
      <c r="A109" s="29"/>
      <c r="B109" s="148" t="s">
        <v>542</v>
      </c>
      <c r="C109" s="148"/>
      <c r="D109" s="148"/>
      <c r="E109" s="148"/>
      <c r="F109" s="148"/>
      <c r="G109" s="148"/>
      <c r="H109" s="148"/>
      <c r="I109" s="148"/>
      <c r="J109" s="148"/>
      <c r="K109" s="148"/>
      <c r="L109" s="29"/>
      <c r="M109" s="29"/>
      <c r="N109" s="29"/>
    </row>
    <row r="110" spans="1:14" ht="26.25" customHeight="1">
      <c r="A110" s="29"/>
      <c r="B110" s="148" t="s">
        <v>543</v>
      </c>
      <c r="C110" s="148"/>
      <c r="D110" s="148"/>
      <c r="E110" s="148"/>
      <c r="F110" s="148"/>
      <c r="G110" s="148"/>
      <c r="H110" s="148"/>
      <c r="I110" s="148"/>
      <c r="J110" s="148"/>
      <c r="K110" s="35"/>
      <c r="L110" s="29"/>
      <c r="M110" s="29"/>
      <c r="N110" s="29"/>
    </row>
    <row r="111" spans="1:14" ht="26.25" customHeight="1">
      <c r="A111" s="29"/>
      <c r="B111" s="148" t="s">
        <v>544</v>
      </c>
      <c r="C111" s="148"/>
      <c r="D111" s="148"/>
      <c r="E111" s="148"/>
      <c r="F111" s="148"/>
      <c r="G111" s="148"/>
      <c r="H111" s="148"/>
      <c r="I111" s="148"/>
      <c r="J111" s="148"/>
      <c r="K111" s="148"/>
      <c r="L111" s="29"/>
      <c r="M111" s="29"/>
      <c r="N111" s="29"/>
    </row>
    <row r="112" spans="1:14" ht="26.25" customHeight="1">
      <c r="A112" s="29"/>
      <c r="B112" s="149" t="s">
        <v>545</v>
      </c>
      <c r="C112" s="148"/>
      <c r="D112" s="148"/>
      <c r="E112" s="148"/>
      <c r="F112" s="148"/>
      <c r="G112" s="148"/>
      <c r="H112" s="148"/>
      <c r="I112" s="148"/>
      <c r="J112" s="148"/>
      <c r="K112" s="148"/>
      <c r="L112" s="29"/>
      <c r="M112" s="29"/>
      <c r="N112" s="29"/>
    </row>
    <row r="113" spans="1:14" ht="26.25" customHeight="1">
      <c r="A113" s="29"/>
      <c r="B113" s="149" t="s">
        <v>546</v>
      </c>
      <c r="C113" s="149"/>
      <c r="D113" s="149"/>
      <c r="E113" s="149"/>
      <c r="F113" s="149"/>
      <c r="G113" s="149"/>
      <c r="H113" s="149"/>
      <c r="I113" s="149"/>
      <c r="J113" s="149"/>
      <c r="K113" s="149"/>
      <c r="L113" s="29"/>
      <c r="M113" s="29"/>
      <c r="N113" s="29"/>
    </row>
    <row r="114" spans="1:14">
      <c r="A114" s="29"/>
      <c r="B114" s="29"/>
      <c r="C114" s="29"/>
      <c r="D114" s="29"/>
      <c r="E114" s="29"/>
      <c r="F114" s="29"/>
      <c r="G114" s="29"/>
      <c r="H114" s="29"/>
      <c r="I114" s="29"/>
      <c r="J114" s="29"/>
      <c r="K114" s="29"/>
      <c r="L114" s="29"/>
      <c r="M114" s="29"/>
      <c r="N114" s="29"/>
    </row>
    <row r="115" spans="1:14" s="75" customFormat="1">
      <c r="A115" s="76"/>
      <c r="B115" s="78" t="s">
        <v>482</v>
      </c>
      <c r="C115" s="79"/>
      <c r="D115" s="80">
        <v>42810</v>
      </c>
      <c r="E115" s="77"/>
      <c r="F115" s="77"/>
      <c r="G115" s="77"/>
      <c r="H115" s="77"/>
      <c r="I115" s="77"/>
      <c r="J115" s="77"/>
      <c r="K115" s="77"/>
      <c r="L115" s="76"/>
      <c r="M115" s="76"/>
      <c r="N115" s="76"/>
    </row>
    <row r="116" spans="1:14" s="75" customFormat="1">
      <c r="A116" s="76"/>
      <c r="B116" s="144" t="s">
        <v>472</v>
      </c>
      <c r="C116" s="144"/>
      <c r="D116" s="144"/>
      <c r="E116" s="144"/>
      <c r="F116" s="144"/>
      <c r="G116" s="144"/>
      <c r="H116" s="144"/>
      <c r="I116" s="144"/>
      <c r="J116" s="144"/>
      <c r="K116" s="144"/>
      <c r="L116" s="76"/>
      <c r="M116" s="76"/>
      <c r="N116" s="76"/>
    </row>
    <row r="117" spans="1:14" s="75" customFormat="1">
      <c r="A117" s="76"/>
      <c r="B117" s="76"/>
      <c r="C117" s="76"/>
      <c r="D117" s="76"/>
      <c r="E117" s="76"/>
      <c r="F117" s="76"/>
      <c r="G117" s="76"/>
      <c r="H117" s="76"/>
      <c r="I117" s="76"/>
      <c r="J117" s="76"/>
      <c r="K117" s="76"/>
      <c r="L117" s="76"/>
      <c r="M117" s="76"/>
      <c r="N117" s="76"/>
    </row>
    <row r="118" spans="1:14">
      <c r="A118" s="29"/>
      <c r="B118" s="32" t="s">
        <v>482</v>
      </c>
      <c r="C118" s="46"/>
      <c r="D118" s="47">
        <v>43312</v>
      </c>
      <c r="E118" s="29"/>
      <c r="F118" s="29"/>
      <c r="G118" s="29"/>
      <c r="H118" s="29"/>
      <c r="I118" s="29"/>
      <c r="J118" s="29"/>
      <c r="K118" s="29"/>
      <c r="L118" s="29"/>
      <c r="M118" s="29"/>
      <c r="N118" s="29"/>
    </row>
    <row r="119" spans="1:14" ht="26.25" customHeight="1">
      <c r="A119" s="29"/>
      <c r="B119" s="142" t="s">
        <v>578</v>
      </c>
      <c r="C119" s="142"/>
      <c r="D119" s="142"/>
      <c r="E119" s="142"/>
      <c r="F119" s="142"/>
      <c r="G119" s="142"/>
      <c r="H119" s="142"/>
      <c r="I119" s="142"/>
      <c r="J119" s="142"/>
      <c r="K119" s="142"/>
      <c r="L119" s="29"/>
      <c r="M119" s="29"/>
      <c r="N119" s="29"/>
    </row>
    <row r="120" spans="1:14" ht="26.25" customHeight="1">
      <c r="B120" s="147" t="s">
        <v>579</v>
      </c>
      <c r="C120" s="147"/>
      <c r="D120" s="147"/>
      <c r="E120" s="147"/>
      <c r="F120" s="147"/>
      <c r="G120" s="147"/>
      <c r="H120" s="147"/>
      <c r="I120" s="147"/>
      <c r="J120" s="147"/>
      <c r="K120" s="147"/>
    </row>
    <row r="121" spans="1:14" ht="26.25" customHeight="1">
      <c r="B121" s="147" t="s">
        <v>580</v>
      </c>
      <c r="C121" s="147"/>
      <c r="D121" s="147"/>
      <c r="E121" s="147"/>
      <c r="F121" s="147"/>
      <c r="G121" s="147"/>
      <c r="H121" s="147"/>
      <c r="I121" s="147"/>
      <c r="J121" s="147"/>
      <c r="K121" s="147"/>
    </row>
    <row r="123" spans="1:14">
      <c r="B123" s="139" t="s">
        <v>772</v>
      </c>
    </row>
  </sheetData>
  <mergeCells count="75">
    <mergeCell ref="B120:K120"/>
    <mergeCell ref="B121:K121"/>
    <mergeCell ref="B27:K27"/>
    <mergeCell ref="B8:M8"/>
    <mergeCell ref="B9:M9"/>
    <mergeCell ref="B12:M12"/>
    <mergeCell ref="B13:M13"/>
    <mergeCell ref="B14:M14"/>
    <mergeCell ref="B15:K15"/>
    <mergeCell ref="B19:K19"/>
    <mergeCell ref="B20:K20"/>
    <mergeCell ref="B24:K24"/>
    <mergeCell ref="B25:K25"/>
    <mergeCell ref="B26:K26"/>
    <mergeCell ref="B47:K47"/>
    <mergeCell ref="B28:K28"/>
    <mergeCell ref="B31:K31"/>
    <mergeCell ref="B32:K32"/>
    <mergeCell ref="B33:K33"/>
    <mergeCell ref="B36:M36"/>
    <mergeCell ref="B37:M37"/>
    <mergeCell ref="B38:K38"/>
    <mergeCell ref="B39:K39"/>
    <mergeCell ref="B42:K42"/>
    <mergeCell ref="B43:K43"/>
    <mergeCell ref="B46:K46"/>
    <mergeCell ref="B61:K61"/>
    <mergeCell ref="B48:K48"/>
    <mergeCell ref="B49:K49"/>
    <mergeCell ref="B50:K50"/>
    <mergeCell ref="B51:K51"/>
    <mergeCell ref="B52:K52"/>
    <mergeCell ref="B53:K53"/>
    <mergeCell ref="B56:K56"/>
    <mergeCell ref="B57:K57"/>
    <mergeCell ref="B58:K58"/>
    <mergeCell ref="B59:K59"/>
    <mergeCell ref="B60:K60"/>
    <mergeCell ref="B81:K81"/>
    <mergeCell ref="B64:K64"/>
    <mergeCell ref="B65:K65"/>
    <mergeCell ref="B66:K66"/>
    <mergeCell ref="B67:K67"/>
    <mergeCell ref="B68:K68"/>
    <mergeCell ref="B69:K69"/>
    <mergeCell ref="B72:K72"/>
    <mergeCell ref="B75:K75"/>
    <mergeCell ref="B76:K76"/>
    <mergeCell ref="B77:K77"/>
    <mergeCell ref="B80:K80"/>
    <mergeCell ref="B98:K98"/>
    <mergeCell ref="B82:K82"/>
    <mergeCell ref="B85:K85"/>
    <mergeCell ref="B86:K86"/>
    <mergeCell ref="B87:K87"/>
    <mergeCell ref="B88:K88"/>
    <mergeCell ref="B89:K89"/>
    <mergeCell ref="B90:K90"/>
    <mergeCell ref="B92:K92"/>
    <mergeCell ref="B95:K95"/>
    <mergeCell ref="B96:K96"/>
    <mergeCell ref="B97:K97"/>
    <mergeCell ref="B119:K119"/>
    <mergeCell ref="B101:K101"/>
    <mergeCell ref="B102:K102"/>
    <mergeCell ref="B103:K103"/>
    <mergeCell ref="B106:K106"/>
    <mergeCell ref="B107:K107"/>
    <mergeCell ref="B108:K108"/>
    <mergeCell ref="B109:K109"/>
    <mergeCell ref="B110:J110"/>
    <mergeCell ref="B111:K111"/>
    <mergeCell ref="B112:K112"/>
    <mergeCell ref="B113:K113"/>
    <mergeCell ref="B116:K11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5"/>
  <sheetViews>
    <sheetView workbookViewId="0"/>
  </sheetViews>
  <sheetFormatPr defaultColWidth="9.140625" defaultRowHeight="15"/>
  <cols>
    <col min="1" max="1" width="23.7109375" style="29" bestFit="1" customWidth="1"/>
    <col min="2" max="2" width="47.42578125" style="29" bestFit="1" customWidth="1"/>
    <col min="3" max="3" width="39.5703125" style="29" bestFit="1" customWidth="1"/>
    <col min="4" max="4" width="25.5703125" style="29" bestFit="1" customWidth="1"/>
    <col min="5" max="5" width="19.140625" style="29" bestFit="1" customWidth="1"/>
    <col min="6" max="6" width="14.85546875" style="29" bestFit="1" customWidth="1"/>
    <col min="7" max="7" width="16.5703125" style="29" bestFit="1" customWidth="1"/>
    <col min="8" max="8" width="17.5703125" style="29" bestFit="1" customWidth="1"/>
    <col min="9" max="9" width="11" style="29" hidden="1" customWidth="1"/>
    <col min="10" max="10" width="26.85546875" style="29" hidden="1" customWidth="1"/>
    <col min="11" max="12" width="19.5703125" style="90" hidden="1" customWidth="1"/>
    <col min="13" max="13" width="19.5703125" style="29" hidden="1" customWidth="1"/>
    <col min="14" max="16384" width="9.140625" style="29"/>
  </cols>
  <sheetData>
    <row r="1" spans="1:12" ht="20.25" thickBot="1">
      <c r="A1" s="49" t="s">
        <v>0</v>
      </c>
    </row>
    <row r="2" spans="1:12" ht="15.75" thickBot="1">
      <c r="A2" s="68" t="s">
        <v>1</v>
      </c>
      <c r="B2" s="68" t="s">
        <v>2</v>
      </c>
      <c r="C2" s="68" t="s">
        <v>755</v>
      </c>
      <c r="D2" s="68" t="s">
        <v>123</v>
      </c>
      <c r="E2" s="68" t="s">
        <v>3</v>
      </c>
      <c r="F2" s="68" t="s">
        <v>4</v>
      </c>
      <c r="G2" s="68" t="s">
        <v>5</v>
      </c>
      <c r="H2" s="68" t="s">
        <v>6</v>
      </c>
      <c r="I2" s="2" t="s">
        <v>7</v>
      </c>
      <c r="J2" s="2" t="s">
        <v>250</v>
      </c>
      <c r="K2" s="2" t="s">
        <v>254</v>
      </c>
      <c r="L2" s="29"/>
    </row>
    <row r="3" spans="1:12" ht="15.75" thickBot="1">
      <c r="A3" s="81" t="s">
        <v>19</v>
      </c>
      <c r="B3" s="82" t="s">
        <v>20</v>
      </c>
      <c r="C3" s="83" t="s">
        <v>21</v>
      </c>
      <c r="D3" s="82">
        <v>2640</v>
      </c>
      <c r="E3" s="83" t="s">
        <v>22</v>
      </c>
      <c r="F3" s="82" t="s">
        <v>23</v>
      </c>
      <c r="G3" s="83" t="s">
        <v>10</v>
      </c>
      <c r="H3" s="82" t="s">
        <v>11</v>
      </c>
      <c r="I3" s="22" t="s">
        <v>24</v>
      </c>
      <c r="J3" s="16" t="s">
        <v>245</v>
      </c>
      <c r="K3" s="22" t="s">
        <v>240</v>
      </c>
      <c r="L3" s="29"/>
    </row>
    <row r="4" spans="1:12" ht="15.75" thickBot="1">
      <c r="A4" s="84" t="s">
        <v>25</v>
      </c>
      <c r="B4" s="85" t="s">
        <v>26</v>
      </c>
      <c r="C4" s="83" t="s">
        <v>27</v>
      </c>
      <c r="D4" s="85">
        <v>80</v>
      </c>
      <c r="E4" s="86" t="s">
        <v>18</v>
      </c>
      <c r="F4" s="85" t="s">
        <v>17</v>
      </c>
      <c r="G4" s="86" t="s">
        <v>10</v>
      </c>
      <c r="H4" s="85" t="s">
        <v>11</v>
      </c>
      <c r="I4" s="21" t="s">
        <v>24</v>
      </c>
      <c r="J4" s="15" t="s">
        <v>245</v>
      </c>
      <c r="K4" s="21" t="s">
        <v>17</v>
      </c>
      <c r="L4" s="29"/>
    </row>
    <row r="5" spans="1:12" ht="23.25" thickBot="1">
      <c r="A5" s="84" t="s">
        <v>28</v>
      </c>
      <c r="B5" s="85" t="s">
        <v>29</v>
      </c>
      <c r="C5" s="83" t="s">
        <v>30</v>
      </c>
      <c r="D5" s="85">
        <v>113</v>
      </c>
      <c r="E5" s="86" t="s">
        <v>12</v>
      </c>
      <c r="F5" s="85" t="s">
        <v>13</v>
      </c>
      <c r="G5" s="86" t="s">
        <v>14</v>
      </c>
      <c r="H5" s="85" t="s">
        <v>11</v>
      </c>
      <c r="I5" s="21" t="s">
        <v>24</v>
      </c>
      <c r="J5" s="15" t="s">
        <v>245</v>
      </c>
      <c r="K5" s="21" t="s">
        <v>13</v>
      </c>
      <c r="L5" s="29"/>
    </row>
    <row r="6" spans="1:12" ht="15.75" thickBot="1">
      <c r="A6" s="84" t="s">
        <v>33</v>
      </c>
      <c r="B6" s="85" t="s">
        <v>34</v>
      </c>
      <c r="C6" s="83" t="s">
        <v>35</v>
      </c>
      <c r="D6" s="85">
        <v>53</v>
      </c>
      <c r="E6" s="86" t="s">
        <v>36</v>
      </c>
      <c r="F6" s="85" t="s">
        <v>37</v>
      </c>
      <c r="G6" s="86" t="s">
        <v>14</v>
      </c>
      <c r="H6" s="85" t="s">
        <v>11</v>
      </c>
      <c r="I6" s="21" t="s">
        <v>24</v>
      </c>
      <c r="J6" s="15" t="s">
        <v>245</v>
      </c>
      <c r="K6" s="21" t="s">
        <v>37</v>
      </c>
      <c r="L6" s="29"/>
    </row>
    <row r="7" spans="1:12" ht="15.75" thickBot="1">
      <c r="A7" s="84" t="s">
        <v>39</v>
      </c>
      <c r="B7" s="85" t="s">
        <v>26</v>
      </c>
      <c r="C7" s="83" t="s">
        <v>40</v>
      </c>
      <c r="D7" s="85">
        <v>724</v>
      </c>
      <c r="E7" s="86" t="s">
        <v>15</v>
      </c>
      <c r="F7" s="85" t="s">
        <v>16</v>
      </c>
      <c r="G7" s="86" t="s">
        <v>10</v>
      </c>
      <c r="H7" s="85" t="s">
        <v>11</v>
      </c>
      <c r="I7" s="21" t="s">
        <v>24</v>
      </c>
      <c r="J7" s="15" t="s">
        <v>245</v>
      </c>
      <c r="K7" s="21" t="s">
        <v>15</v>
      </c>
      <c r="L7" s="29"/>
    </row>
    <row r="8" spans="1:12" ht="15.75" thickBot="1">
      <c r="A8" s="84" t="s">
        <v>42</v>
      </c>
      <c r="B8" s="85" t="s">
        <v>43</v>
      </c>
      <c r="C8" s="83" t="s">
        <v>44</v>
      </c>
      <c r="D8" s="85">
        <v>2880</v>
      </c>
      <c r="E8" s="86" t="s">
        <v>22</v>
      </c>
      <c r="F8" s="85" t="s">
        <v>23</v>
      </c>
      <c r="G8" s="86" t="s">
        <v>10</v>
      </c>
      <c r="H8" s="85" t="s">
        <v>11</v>
      </c>
      <c r="I8" s="21" t="s">
        <v>24</v>
      </c>
      <c r="J8" s="15" t="s">
        <v>245</v>
      </c>
      <c r="K8" s="21" t="s">
        <v>240</v>
      </c>
      <c r="L8" s="29"/>
    </row>
    <row r="9" spans="1:12" ht="15.75" thickBot="1">
      <c r="A9" s="84" t="s">
        <v>45</v>
      </c>
      <c r="B9" s="85" t="s">
        <v>46</v>
      </c>
      <c r="C9" s="83" t="s">
        <v>47</v>
      </c>
      <c r="D9" s="85">
        <v>10</v>
      </c>
      <c r="E9" s="86" t="s">
        <v>36</v>
      </c>
      <c r="F9" s="85" t="s">
        <v>37</v>
      </c>
      <c r="G9" s="86" t="s">
        <v>14</v>
      </c>
      <c r="H9" s="85" t="s">
        <v>11</v>
      </c>
      <c r="I9" s="21" t="s">
        <v>24</v>
      </c>
      <c r="J9" s="15" t="s">
        <v>245</v>
      </c>
      <c r="K9" s="21" t="s">
        <v>37</v>
      </c>
      <c r="L9" s="29"/>
    </row>
    <row r="10" spans="1:12" ht="23.25" thickBot="1">
      <c r="A10" s="84" t="s">
        <v>613</v>
      </c>
      <c r="B10" s="85" t="s">
        <v>46</v>
      </c>
      <c r="C10" s="83" t="s">
        <v>759</v>
      </c>
      <c r="D10" s="85">
        <v>165.5</v>
      </c>
      <c r="E10" s="86" t="s">
        <v>12</v>
      </c>
      <c r="F10" s="85" t="s">
        <v>13</v>
      </c>
      <c r="G10" s="86" t="s">
        <v>14</v>
      </c>
      <c r="H10" s="85" t="s">
        <v>11</v>
      </c>
      <c r="I10" s="21" t="s">
        <v>24</v>
      </c>
      <c r="J10" s="15" t="s">
        <v>245</v>
      </c>
      <c r="K10" s="21" t="s">
        <v>13</v>
      </c>
      <c r="L10" s="29"/>
    </row>
    <row r="11" spans="1:12" ht="15.75" thickBot="1">
      <c r="A11" s="84" t="s">
        <v>756</v>
      </c>
      <c r="B11" s="85" t="s">
        <v>48</v>
      </c>
      <c r="C11" s="83" t="s">
        <v>49</v>
      </c>
      <c r="D11" s="85">
        <v>46.5</v>
      </c>
      <c r="E11" s="86" t="s">
        <v>12</v>
      </c>
      <c r="F11" s="85" t="s">
        <v>13</v>
      </c>
      <c r="G11" s="86" t="s">
        <v>14</v>
      </c>
      <c r="H11" s="85" t="s">
        <v>11</v>
      </c>
      <c r="I11" s="21" t="s">
        <v>24</v>
      </c>
      <c r="J11" s="15" t="s">
        <v>245</v>
      </c>
      <c r="K11" s="21" t="s">
        <v>13</v>
      </c>
      <c r="L11" s="29"/>
    </row>
    <row r="12" spans="1:12" ht="15.75" thickBot="1">
      <c r="A12" s="84" t="s">
        <v>50</v>
      </c>
      <c r="B12" s="85" t="s">
        <v>26</v>
      </c>
      <c r="C12" s="83" t="s">
        <v>51</v>
      </c>
      <c r="D12" s="85">
        <v>60</v>
      </c>
      <c r="E12" s="86" t="s">
        <v>18</v>
      </c>
      <c r="F12" s="85" t="s">
        <v>17</v>
      </c>
      <c r="G12" s="86" t="s">
        <v>10</v>
      </c>
      <c r="H12" s="85" t="s">
        <v>11</v>
      </c>
      <c r="I12" s="21" t="s">
        <v>24</v>
      </c>
      <c r="J12" s="15" t="s">
        <v>245</v>
      </c>
      <c r="K12" s="21" t="s">
        <v>17</v>
      </c>
      <c r="L12" s="29"/>
    </row>
    <row r="13" spans="1:12" ht="15.75" thickBot="1">
      <c r="A13" s="84" t="s">
        <v>54</v>
      </c>
      <c r="B13" s="85" t="s">
        <v>55</v>
      </c>
      <c r="C13" s="83" t="s">
        <v>56</v>
      </c>
      <c r="D13" s="85">
        <v>29</v>
      </c>
      <c r="E13" s="86" t="s">
        <v>18</v>
      </c>
      <c r="F13" s="85" t="s">
        <v>17</v>
      </c>
      <c r="G13" s="86" t="s">
        <v>10</v>
      </c>
      <c r="H13" s="85" t="s">
        <v>11</v>
      </c>
      <c r="I13" s="21" t="s">
        <v>24</v>
      </c>
      <c r="J13" s="15" t="s">
        <v>245</v>
      </c>
      <c r="K13" s="21" t="s">
        <v>17</v>
      </c>
      <c r="L13" s="29"/>
    </row>
    <row r="14" spans="1:12" ht="15.75" thickBot="1">
      <c r="A14" s="84" t="s">
        <v>57</v>
      </c>
      <c r="B14" s="85" t="s">
        <v>20</v>
      </c>
      <c r="C14" s="83" t="s">
        <v>58</v>
      </c>
      <c r="D14" s="85">
        <v>50</v>
      </c>
      <c r="E14" s="86" t="s">
        <v>15</v>
      </c>
      <c r="F14" s="85" t="s">
        <v>9</v>
      </c>
      <c r="G14" s="86" t="s">
        <v>10</v>
      </c>
      <c r="H14" s="85" t="s">
        <v>11</v>
      </c>
      <c r="I14" s="21" t="s">
        <v>24</v>
      </c>
      <c r="J14" s="15" t="s">
        <v>245</v>
      </c>
      <c r="K14" s="21" t="s">
        <v>15</v>
      </c>
      <c r="L14" s="29"/>
    </row>
    <row r="15" spans="1:12" ht="15.75" thickBot="1">
      <c r="A15" s="84" t="s">
        <v>59</v>
      </c>
      <c r="B15" s="85" t="s">
        <v>20</v>
      </c>
      <c r="C15" s="83" t="s">
        <v>60</v>
      </c>
      <c r="D15" s="85">
        <v>2000</v>
      </c>
      <c r="E15" s="86" t="s">
        <v>22</v>
      </c>
      <c r="F15" s="85" t="s">
        <v>23</v>
      </c>
      <c r="G15" s="86" t="s">
        <v>10</v>
      </c>
      <c r="H15" s="85" t="s">
        <v>61</v>
      </c>
      <c r="I15" s="21" t="s">
        <v>24</v>
      </c>
      <c r="J15" s="15" t="s">
        <v>61</v>
      </c>
      <c r="K15" s="21" t="s">
        <v>240</v>
      </c>
      <c r="L15" s="29"/>
    </row>
    <row r="16" spans="1:12" ht="15.75" thickBot="1">
      <c r="A16" s="84" t="s">
        <v>62</v>
      </c>
      <c r="B16" s="85" t="s">
        <v>63</v>
      </c>
      <c r="C16" s="83" t="s">
        <v>64</v>
      </c>
      <c r="D16" s="85">
        <v>50</v>
      </c>
      <c r="E16" s="86" t="s">
        <v>36</v>
      </c>
      <c r="F16" s="85" t="s">
        <v>37</v>
      </c>
      <c r="G16" s="86" t="s">
        <v>14</v>
      </c>
      <c r="H16" s="85" t="s">
        <v>11</v>
      </c>
      <c r="I16" s="21" t="s">
        <v>24</v>
      </c>
      <c r="J16" s="15" t="s">
        <v>245</v>
      </c>
      <c r="K16" s="21" t="s">
        <v>37</v>
      </c>
      <c r="L16" s="29"/>
    </row>
    <row r="17" spans="1:12" ht="15.75" thickBot="1">
      <c r="A17" s="84" t="s">
        <v>65</v>
      </c>
      <c r="B17" s="85" t="s">
        <v>66</v>
      </c>
      <c r="C17" s="83" t="s">
        <v>67</v>
      </c>
      <c r="D17" s="85">
        <v>56</v>
      </c>
      <c r="E17" s="86" t="s">
        <v>36</v>
      </c>
      <c r="F17" s="85" t="s">
        <v>37</v>
      </c>
      <c r="G17" s="86" t="s">
        <v>14</v>
      </c>
      <c r="H17" s="85" t="s">
        <v>11</v>
      </c>
      <c r="I17" s="21" t="s">
        <v>24</v>
      </c>
      <c r="J17" s="15" t="s">
        <v>245</v>
      </c>
      <c r="K17" s="21" t="s">
        <v>37</v>
      </c>
      <c r="L17" s="29"/>
    </row>
    <row r="18" spans="1:12" ht="15.75" thickBot="1">
      <c r="A18" s="84" t="s">
        <v>68</v>
      </c>
      <c r="B18" s="85" t="s">
        <v>52</v>
      </c>
      <c r="C18" s="83" t="s">
        <v>69</v>
      </c>
      <c r="D18" s="85">
        <v>1320</v>
      </c>
      <c r="E18" s="86" t="s">
        <v>22</v>
      </c>
      <c r="F18" s="85" t="s">
        <v>23</v>
      </c>
      <c r="G18" s="86" t="s">
        <v>10</v>
      </c>
      <c r="H18" s="85" t="s">
        <v>11</v>
      </c>
      <c r="I18" s="21" t="s">
        <v>24</v>
      </c>
      <c r="J18" s="15" t="s">
        <v>245</v>
      </c>
      <c r="K18" s="21" t="s">
        <v>240</v>
      </c>
      <c r="L18" s="29"/>
    </row>
    <row r="19" spans="1:12" ht="15.75" thickBot="1">
      <c r="A19" s="84" t="s">
        <v>757</v>
      </c>
      <c r="B19" s="85" t="s">
        <v>34</v>
      </c>
      <c r="C19" s="83" t="s">
        <v>70</v>
      </c>
      <c r="D19" s="85">
        <v>102</v>
      </c>
      <c r="E19" s="86" t="s">
        <v>36</v>
      </c>
      <c r="F19" s="85" t="s">
        <v>37</v>
      </c>
      <c r="G19" s="86" t="s">
        <v>14</v>
      </c>
      <c r="H19" s="85" t="s">
        <v>11</v>
      </c>
      <c r="I19" s="21" t="s">
        <v>24</v>
      </c>
      <c r="J19" s="15" t="s">
        <v>245</v>
      </c>
      <c r="K19" s="21" t="s">
        <v>37</v>
      </c>
      <c r="L19" s="29"/>
    </row>
    <row r="20" spans="1:12" ht="15.75" thickBot="1">
      <c r="A20" s="84" t="s">
        <v>71</v>
      </c>
      <c r="B20" s="85" t="s">
        <v>72</v>
      </c>
      <c r="C20" s="83" t="s">
        <v>754</v>
      </c>
      <c r="D20" s="85">
        <v>50.5</v>
      </c>
      <c r="E20" s="86" t="s">
        <v>36</v>
      </c>
      <c r="F20" s="85" t="s">
        <v>37</v>
      </c>
      <c r="G20" s="86" t="s">
        <v>14</v>
      </c>
      <c r="H20" s="85" t="s">
        <v>11</v>
      </c>
      <c r="I20" s="21" t="s">
        <v>24</v>
      </c>
      <c r="J20" s="15" t="s">
        <v>245</v>
      </c>
      <c r="K20" s="21" t="s">
        <v>37</v>
      </c>
      <c r="L20" s="29"/>
    </row>
    <row r="21" spans="1:12" ht="15.75" thickBot="1">
      <c r="A21" s="84" t="s">
        <v>73</v>
      </c>
      <c r="B21" s="85" t="s">
        <v>74</v>
      </c>
      <c r="C21" s="83" t="s">
        <v>75</v>
      </c>
      <c r="D21" s="85">
        <v>270</v>
      </c>
      <c r="E21" s="86" t="s">
        <v>12</v>
      </c>
      <c r="F21" s="85" t="s">
        <v>13</v>
      </c>
      <c r="G21" s="86" t="s">
        <v>14</v>
      </c>
      <c r="H21" s="85" t="s">
        <v>11</v>
      </c>
      <c r="I21" s="21" t="s">
        <v>24</v>
      </c>
      <c r="J21" s="15" t="s">
        <v>245</v>
      </c>
      <c r="K21" s="21" t="s">
        <v>13</v>
      </c>
      <c r="L21" s="29"/>
    </row>
    <row r="22" spans="1:12" ht="23.25" thickBot="1">
      <c r="A22" s="84" t="s">
        <v>76</v>
      </c>
      <c r="B22" s="85" t="s">
        <v>43</v>
      </c>
      <c r="C22" s="83" t="s">
        <v>77</v>
      </c>
      <c r="D22" s="85">
        <v>240</v>
      </c>
      <c r="E22" s="86" t="s">
        <v>53</v>
      </c>
      <c r="F22" s="85" t="s">
        <v>17</v>
      </c>
      <c r="G22" s="86" t="s">
        <v>10</v>
      </c>
      <c r="H22" s="85" t="s">
        <v>11</v>
      </c>
      <c r="I22" s="21" t="s">
        <v>24</v>
      </c>
      <c r="J22" s="15" t="s">
        <v>245</v>
      </c>
      <c r="K22" s="21" t="s">
        <v>17</v>
      </c>
      <c r="L22" s="29"/>
    </row>
    <row r="23" spans="1:12" ht="15.75" thickBot="1">
      <c r="A23" s="84" t="s">
        <v>78</v>
      </c>
      <c r="B23" s="85" t="s">
        <v>79</v>
      </c>
      <c r="C23" s="83" t="s">
        <v>80</v>
      </c>
      <c r="D23" s="85">
        <v>199</v>
      </c>
      <c r="E23" s="86" t="s">
        <v>12</v>
      </c>
      <c r="F23" s="85" t="s">
        <v>13</v>
      </c>
      <c r="G23" s="86" t="s">
        <v>14</v>
      </c>
      <c r="H23" s="85" t="s">
        <v>11</v>
      </c>
      <c r="I23" s="21" t="s">
        <v>24</v>
      </c>
      <c r="J23" s="15" t="s">
        <v>245</v>
      </c>
      <c r="K23" s="21" t="s">
        <v>13</v>
      </c>
      <c r="L23" s="29"/>
    </row>
    <row r="24" spans="1:12" ht="23.25" thickBot="1">
      <c r="A24" s="84" t="s">
        <v>81</v>
      </c>
      <c r="B24" s="85" t="s">
        <v>82</v>
      </c>
      <c r="C24" s="83" t="s">
        <v>83</v>
      </c>
      <c r="D24" s="85">
        <v>170.9</v>
      </c>
      <c r="E24" s="86" t="s">
        <v>41</v>
      </c>
      <c r="F24" s="85" t="s">
        <v>16</v>
      </c>
      <c r="G24" s="86" t="s">
        <v>10</v>
      </c>
      <c r="H24" s="85" t="s">
        <v>11</v>
      </c>
      <c r="I24" s="21" t="s">
        <v>24</v>
      </c>
      <c r="J24" s="15" t="s">
        <v>245</v>
      </c>
      <c r="K24" s="21" t="s">
        <v>41</v>
      </c>
      <c r="L24" s="29"/>
    </row>
    <row r="25" spans="1:12" ht="15.75" thickBot="1">
      <c r="A25" s="84" t="s">
        <v>84</v>
      </c>
      <c r="B25" s="85" t="s">
        <v>52</v>
      </c>
      <c r="C25" s="83" t="s">
        <v>85</v>
      </c>
      <c r="D25" s="85">
        <v>435</v>
      </c>
      <c r="E25" s="86" t="s">
        <v>41</v>
      </c>
      <c r="F25" s="85" t="s">
        <v>16</v>
      </c>
      <c r="G25" s="86" t="s">
        <v>10</v>
      </c>
      <c r="H25" s="85" t="s">
        <v>11</v>
      </c>
      <c r="I25" s="21" t="s">
        <v>24</v>
      </c>
      <c r="J25" s="15" t="s">
        <v>245</v>
      </c>
      <c r="K25" s="21" t="s">
        <v>41</v>
      </c>
      <c r="L25" s="29"/>
    </row>
    <row r="26" spans="1:12" ht="34.5" thickBot="1">
      <c r="A26" s="84" t="s">
        <v>758</v>
      </c>
      <c r="B26" s="85" t="s">
        <v>86</v>
      </c>
      <c r="C26" s="83" t="s">
        <v>87</v>
      </c>
      <c r="D26" s="85">
        <v>106.8</v>
      </c>
      <c r="E26" s="86" t="s">
        <v>12</v>
      </c>
      <c r="F26" s="85" t="s">
        <v>13</v>
      </c>
      <c r="G26" s="86" t="s">
        <v>14</v>
      </c>
      <c r="H26" s="85" t="s">
        <v>11</v>
      </c>
      <c r="I26" s="21" t="s">
        <v>24</v>
      </c>
      <c r="J26" s="15" t="s">
        <v>245</v>
      </c>
      <c r="K26" s="21" t="s">
        <v>13</v>
      </c>
      <c r="L26" s="29"/>
    </row>
    <row r="27" spans="1:12" ht="15.75" thickBot="1">
      <c r="A27" s="84" t="s">
        <v>89</v>
      </c>
      <c r="B27" s="85" t="s">
        <v>26</v>
      </c>
      <c r="C27" s="83" t="s">
        <v>90</v>
      </c>
      <c r="D27" s="85">
        <v>1500</v>
      </c>
      <c r="E27" s="86" t="s">
        <v>18</v>
      </c>
      <c r="F27" s="85" t="s">
        <v>17</v>
      </c>
      <c r="G27" s="86" t="s">
        <v>10</v>
      </c>
      <c r="H27" s="85" t="s">
        <v>11</v>
      </c>
      <c r="I27" s="21" t="s">
        <v>24</v>
      </c>
      <c r="J27" s="15" t="s">
        <v>245</v>
      </c>
      <c r="K27" s="21" t="s">
        <v>17</v>
      </c>
      <c r="L27" s="29"/>
    </row>
    <row r="28" spans="1:12" ht="23.25" thickBot="1">
      <c r="A28" s="84" t="s">
        <v>91</v>
      </c>
      <c r="B28" s="85" t="s">
        <v>26</v>
      </c>
      <c r="C28" s="83" t="s">
        <v>92</v>
      </c>
      <c r="D28" s="85">
        <v>616</v>
      </c>
      <c r="E28" s="86" t="s">
        <v>18</v>
      </c>
      <c r="F28" s="85" t="s">
        <v>17</v>
      </c>
      <c r="G28" s="86" t="s">
        <v>10</v>
      </c>
      <c r="H28" s="85" t="s">
        <v>11</v>
      </c>
      <c r="I28" s="21" t="s">
        <v>24</v>
      </c>
      <c r="J28" s="15" t="s">
        <v>245</v>
      </c>
      <c r="K28" s="21" t="s">
        <v>17</v>
      </c>
      <c r="L28" s="29"/>
    </row>
    <row r="29" spans="1:12" ht="15.75" thickBot="1">
      <c r="A29" s="84" t="s">
        <v>93</v>
      </c>
      <c r="B29" s="85" t="s">
        <v>94</v>
      </c>
      <c r="C29" s="83" t="s">
        <v>95</v>
      </c>
      <c r="D29" s="85">
        <v>664</v>
      </c>
      <c r="E29" s="86" t="s">
        <v>15</v>
      </c>
      <c r="F29" s="85" t="s">
        <v>16</v>
      </c>
      <c r="G29" s="86" t="s">
        <v>10</v>
      </c>
      <c r="H29" s="85" t="s">
        <v>11</v>
      </c>
      <c r="I29" s="21" t="s">
        <v>24</v>
      </c>
      <c r="J29" s="15" t="s">
        <v>245</v>
      </c>
      <c r="K29" s="21" t="s">
        <v>15</v>
      </c>
      <c r="L29" s="29"/>
    </row>
    <row r="30" spans="1:12" ht="15.75" thickBot="1">
      <c r="A30" s="84" t="s">
        <v>96</v>
      </c>
      <c r="B30" s="85" t="s">
        <v>97</v>
      </c>
      <c r="C30" s="83" t="s">
        <v>69</v>
      </c>
      <c r="D30" s="85">
        <v>1320</v>
      </c>
      <c r="E30" s="86" t="s">
        <v>22</v>
      </c>
      <c r="F30" s="85" t="s">
        <v>23</v>
      </c>
      <c r="G30" s="86" t="s">
        <v>10</v>
      </c>
      <c r="H30" s="85" t="s">
        <v>11</v>
      </c>
      <c r="I30" s="21" t="s">
        <v>24</v>
      </c>
      <c r="J30" s="15" t="s">
        <v>245</v>
      </c>
      <c r="K30" s="21" t="s">
        <v>240</v>
      </c>
      <c r="L30" s="29"/>
    </row>
    <row r="31" spans="1:12" ht="15.75" thickBot="1">
      <c r="A31" s="84" t="s">
        <v>664</v>
      </c>
      <c r="B31" s="85" t="s">
        <v>98</v>
      </c>
      <c r="C31" s="83" t="s">
        <v>667</v>
      </c>
      <c r="D31" s="85">
        <v>20</v>
      </c>
      <c r="E31" s="86" t="s">
        <v>36</v>
      </c>
      <c r="F31" s="85" t="s">
        <v>37</v>
      </c>
      <c r="G31" s="86" t="s">
        <v>14</v>
      </c>
      <c r="H31" s="85" t="s">
        <v>11</v>
      </c>
      <c r="I31" s="21" t="s">
        <v>24</v>
      </c>
      <c r="J31" s="15" t="s">
        <v>245</v>
      </c>
      <c r="K31" s="21" t="s">
        <v>37</v>
      </c>
      <c r="L31" s="29"/>
    </row>
    <row r="32" spans="1:12" ht="15.75" thickBot="1">
      <c r="A32" s="84" t="s">
        <v>665</v>
      </c>
      <c r="B32" s="85" t="s">
        <v>98</v>
      </c>
      <c r="C32" s="83" t="s">
        <v>668</v>
      </c>
      <c r="D32" s="85">
        <v>172.5</v>
      </c>
      <c r="E32" s="86" t="s">
        <v>12</v>
      </c>
      <c r="F32" s="85" t="s">
        <v>13</v>
      </c>
      <c r="G32" s="86" t="s">
        <v>14</v>
      </c>
      <c r="H32" s="85" t="s">
        <v>11</v>
      </c>
      <c r="I32" s="21" t="s">
        <v>24</v>
      </c>
      <c r="J32" s="15" t="s">
        <v>245</v>
      </c>
      <c r="K32" s="21" t="s">
        <v>13</v>
      </c>
      <c r="L32" s="29"/>
    </row>
    <row r="33" spans="1:12" ht="15.75" thickBot="1">
      <c r="A33" s="87" t="s">
        <v>99</v>
      </c>
      <c r="B33" s="88" t="s">
        <v>100</v>
      </c>
      <c r="C33" s="83" t="s">
        <v>101</v>
      </c>
      <c r="D33" s="88">
        <v>48.3</v>
      </c>
      <c r="E33" s="89" t="s">
        <v>12</v>
      </c>
      <c r="F33" s="88" t="s">
        <v>13</v>
      </c>
      <c r="G33" s="89" t="s">
        <v>14</v>
      </c>
      <c r="H33" s="88" t="s">
        <v>11</v>
      </c>
      <c r="I33" s="23" t="s">
        <v>24</v>
      </c>
      <c r="J33" s="17" t="s">
        <v>245</v>
      </c>
      <c r="K33" s="23" t="s">
        <v>13</v>
      </c>
      <c r="L33" s="29"/>
    </row>
    <row r="34" spans="1:12" ht="15.75" thickBot="1"/>
    <row r="35" spans="1:12" ht="15.75" thickBot="1">
      <c r="A35" s="53" t="s">
        <v>102</v>
      </c>
      <c r="B35" s="117"/>
      <c r="C35" s="118"/>
      <c r="D35" s="54">
        <f>SUM(existingstable[Nameplate Capacity (MW)])</f>
        <v>16191.999999999998</v>
      </c>
      <c r="E35" s="118"/>
      <c r="F35" s="117"/>
      <c r="G35" s="118"/>
      <c r="H35" s="1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96"/>
  <sheetViews>
    <sheetView workbookViewId="0"/>
  </sheetViews>
  <sheetFormatPr defaultColWidth="9.140625" defaultRowHeight="15"/>
  <cols>
    <col min="1" max="1" width="23.85546875" style="29" bestFit="1" customWidth="1"/>
    <col min="2" max="11" width="10.7109375" style="29" bestFit="1" customWidth="1"/>
    <col min="12" max="12" width="16.140625" style="29" bestFit="1" customWidth="1"/>
    <col min="13" max="13" width="12.7109375" style="29" hidden="1" customWidth="1"/>
    <col min="14" max="14" width="11" style="29" hidden="1" customWidth="1"/>
    <col min="15" max="15" width="11.42578125" style="29" hidden="1" customWidth="1"/>
    <col min="16" max="16384" width="9.140625" style="29"/>
  </cols>
  <sheetData>
    <row r="1" spans="1:15" ht="20.25" thickBot="1">
      <c r="A1" s="49" t="s">
        <v>605</v>
      </c>
    </row>
    <row r="2" spans="1:15" ht="15.75" thickBot="1">
      <c r="A2" s="138" t="s">
        <v>1</v>
      </c>
      <c r="B2" s="138" t="s">
        <v>761</v>
      </c>
      <c r="C2" s="138" t="s">
        <v>762</v>
      </c>
      <c r="D2" s="138" t="s">
        <v>763</v>
      </c>
      <c r="E2" s="138" t="s">
        <v>764</v>
      </c>
      <c r="F2" s="138" t="s">
        <v>765</v>
      </c>
      <c r="G2" s="138" t="s">
        <v>766</v>
      </c>
      <c r="H2" s="138" t="s">
        <v>767</v>
      </c>
      <c r="I2" s="138" t="s">
        <v>768</v>
      </c>
      <c r="J2" s="138" t="s">
        <v>769</v>
      </c>
      <c r="K2" s="138" t="s">
        <v>770</v>
      </c>
      <c r="L2" s="138" t="s">
        <v>5</v>
      </c>
      <c r="M2" s="68" t="s">
        <v>608</v>
      </c>
      <c r="N2" s="68" t="s">
        <v>7</v>
      </c>
      <c r="O2" s="68" t="s">
        <v>609</v>
      </c>
    </row>
    <row r="3" spans="1:15" ht="15.75" thickBot="1">
      <c r="A3" s="19" t="s">
        <v>19</v>
      </c>
      <c r="B3" s="93">
        <v>2520</v>
      </c>
      <c r="C3" s="94">
        <v>2545</v>
      </c>
      <c r="D3" s="93">
        <v>2570</v>
      </c>
      <c r="E3" s="94">
        <v>2595</v>
      </c>
      <c r="F3" s="93">
        <v>2620</v>
      </c>
      <c r="G3" s="94">
        <v>2620</v>
      </c>
      <c r="H3" s="93">
        <v>2620</v>
      </c>
      <c r="I3" s="94">
        <v>2620</v>
      </c>
      <c r="J3" s="93">
        <v>2620</v>
      </c>
      <c r="K3" s="94">
        <v>2620</v>
      </c>
      <c r="L3" s="73" t="s">
        <v>10</v>
      </c>
      <c r="M3" s="25" t="s">
        <v>610</v>
      </c>
      <c r="N3" s="73" t="s">
        <v>24</v>
      </c>
      <c r="O3" s="25" t="s">
        <v>611</v>
      </c>
    </row>
    <row r="4" spans="1:15" ht="15.75" thickBot="1">
      <c r="A4" s="18" t="s">
        <v>105</v>
      </c>
      <c r="B4" s="95">
        <v>0</v>
      </c>
      <c r="C4" s="96">
        <v>87</v>
      </c>
      <c r="D4" s="95">
        <v>87</v>
      </c>
      <c r="E4" s="96">
        <v>87</v>
      </c>
      <c r="F4" s="95">
        <v>87</v>
      </c>
      <c r="G4" s="96">
        <v>87</v>
      </c>
      <c r="H4" s="95">
        <v>87</v>
      </c>
      <c r="I4" s="96">
        <v>87</v>
      </c>
      <c r="J4" s="95">
        <v>87</v>
      </c>
      <c r="K4" s="96">
        <v>87</v>
      </c>
      <c r="L4" s="72" t="s">
        <v>14</v>
      </c>
      <c r="M4" s="24" t="s">
        <v>37</v>
      </c>
      <c r="N4" s="72" t="s">
        <v>24</v>
      </c>
      <c r="O4" s="24" t="s">
        <v>611</v>
      </c>
    </row>
    <row r="5" spans="1:15" ht="15.75" thickBot="1">
      <c r="A5" s="18" t="s">
        <v>25</v>
      </c>
      <c r="B5" s="95">
        <v>80</v>
      </c>
      <c r="C5" s="96">
        <v>80</v>
      </c>
      <c r="D5" s="95">
        <v>80</v>
      </c>
      <c r="E5" s="96">
        <v>80</v>
      </c>
      <c r="F5" s="95">
        <v>80</v>
      </c>
      <c r="G5" s="96">
        <v>80</v>
      </c>
      <c r="H5" s="95">
        <v>80</v>
      </c>
      <c r="I5" s="96">
        <v>80</v>
      </c>
      <c r="J5" s="95">
        <v>80</v>
      </c>
      <c r="K5" s="96">
        <v>80</v>
      </c>
      <c r="L5" s="72" t="s">
        <v>10</v>
      </c>
      <c r="M5" s="24" t="s">
        <v>612</v>
      </c>
      <c r="N5" s="72" t="s">
        <v>24</v>
      </c>
      <c r="O5" s="24" t="s">
        <v>611</v>
      </c>
    </row>
    <row r="6" spans="1:15" ht="15.75" thickBot="1">
      <c r="A6" s="18" t="s">
        <v>28</v>
      </c>
      <c r="B6" s="95">
        <v>104.09</v>
      </c>
      <c r="C6" s="96">
        <v>104.09</v>
      </c>
      <c r="D6" s="95">
        <v>104.09</v>
      </c>
      <c r="E6" s="96">
        <v>104.09</v>
      </c>
      <c r="F6" s="95">
        <v>104.09</v>
      </c>
      <c r="G6" s="96">
        <v>104.09</v>
      </c>
      <c r="H6" s="95">
        <v>104.09</v>
      </c>
      <c r="I6" s="96">
        <v>104.09</v>
      </c>
      <c r="J6" s="95">
        <v>104.09</v>
      </c>
      <c r="K6" s="96">
        <v>104.09</v>
      </c>
      <c r="L6" s="72" t="s">
        <v>14</v>
      </c>
      <c r="M6" s="24" t="s">
        <v>13</v>
      </c>
      <c r="N6" s="72" t="s">
        <v>24</v>
      </c>
      <c r="O6" s="24" t="s">
        <v>611</v>
      </c>
    </row>
    <row r="7" spans="1:15" ht="15.75" thickBot="1">
      <c r="A7" s="18" t="s">
        <v>107</v>
      </c>
      <c r="B7" s="95">
        <v>113.19</v>
      </c>
      <c r="C7" s="96">
        <v>113.19</v>
      </c>
      <c r="D7" s="95">
        <v>113.19</v>
      </c>
      <c r="E7" s="96">
        <v>113.19</v>
      </c>
      <c r="F7" s="95">
        <v>113.19</v>
      </c>
      <c r="G7" s="96">
        <v>113.19</v>
      </c>
      <c r="H7" s="95">
        <v>113.19</v>
      </c>
      <c r="I7" s="96">
        <v>113.19</v>
      </c>
      <c r="J7" s="95">
        <v>113.19</v>
      </c>
      <c r="K7" s="96">
        <v>113.19</v>
      </c>
      <c r="L7" s="72" t="s">
        <v>14</v>
      </c>
      <c r="M7" s="24" t="s">
        <v>13</v>
      </c>
      <c r="N7" s="72" t="s">
        <v>24</v>
      </c>
      <c r="O7" s="24" t="s">
        <v>611</v>
      </c>
    </row>
    <row r="8" spans="1:15" ht="15.75" thickBot="1">
      <c r="A8" s="18" t="s">
        <v>33</v>
      </c>
      <c r="B8" s="95">
        <v>53</v>
      </c>
      <c r="C8" s="96">
        <v>53</v>
      </c>
      <c r="D8" s="95">
        <v>53</v>
      </c>
      <c r="E8" s="96">
        <v>53</v>
      </c>
      <c r="F8" s="95">
        <v>53</v>
      </c>
      <c r="G8" s="96">
        <v>53</v>
      </c>
      <c r="H8" s="95">
        <v>53</v>
      </c>
      <c r="I8" s="96">
        <v>53</v>
      </c>
      <c r="J8" s="95">
        <v>53</v>
      </c>
      <c r="K8" s="96">
        <v>53</v>
      </c>
      <c r="L8" s="72" t="s">
        <v>14</v>
      </c>
      <c r="M8" s="24" t="s">
        <v>37</v>
      </c>
      <c r="N8" s="72" t="s">
        <v>24</v>
      </c>
      <c r="O8" s="24" t="s">
        <v>611</v>
      </c>
    </row>
    <row r="9" spans="1:15" ht="15.75" thickBot="1">
      <c r="A9" s="18" t="s">
        <v>109</v>
      </c>
      <c r="B9" s="95">
        <v>150</v>
      </c>
      <c r="C9" s="96">
        <v>150</v>
      </c>
      <c r="D9" s="95">
        <v>150</v>
      </c>
      <c r="E9" s="96">
        <v>150</v>
      </c>
      <c r="F9" s="95">
        <v>150</v>
      </c>
      <c r="G9" s="96">
        <v>150</v>
      </c>
      <c r="H9" s="95">
        <v>150</v>
      </c>
      <c r="I9" s="96">
        <v>150</v>
      </c>
      <c r="J9" s="95">
        <v>150</v>
      </c>
      <c r="K9" s="96">
        <v>150</v>
      </c>
      <c r="L9" s="72" t="s">
        <v>14</v>
      </c>
      <c r="M9" s="24" t="s">
        <v>37</v>
      </c>
      <c r="N9" s="72" t="s">
        <v>24</v>
      </c>
      <c r="O9" s="24" t="s">
        <v>611</v>
      </c>
    </row>
    <row r="10" spans="1:15" ht="15.75" thickBot="1">
      <c r="A10" s="18" t="s">
        <v>39</v>
      </c>
      <c r="B10" s="95">
        <v>648</v>
      </c>
      <c r="C10" s="96">
        <v>648</v>
      </c>
      <c r="D10" s="95">
        <v>648</v>
      </c>
      <c r="E10" s="96">
        <v>648</v>
      </c>
      <c r="F10" s="95">
        <v>648</v>
      </c>
      <c r="G10" s="96">
        <v>648</v>
      </c>
      <c r="H10" s="95">
        <v>648</v>
      </c>
      <c r="I10" s="96">
        <v>648</v>
      </c>
      <c r="J10" s="95">
        <v>648</v>
      </c>
      <c r="K10" s="96">
        <v>648</v>
      </c>
      <c r="L10" s="72" t="s">
        <v>10</v>
      </c>
      <c r="M10" s="24" t="s">
        <v>610</v>
      </c>
      <c r="N10" s="72" t="s">
        <v>24</v>
      </c>
      <c r="O10" s="24" t="s">
        <v>611</v>
      </c>
    </row>
    <row r="11" spans="1:15" ht="15.75" thickBot="1">
      <c r="A11" s="18" t="s">
        <v>111</v>
      </c>
      <c r="B11" s="95">
        <v>91</v>
      </c>
      <c r="C11" s="96">
        <v>91</v>
      </c>
      <c r="D11" s="95">
        <v>91</v>
      </c>
      <c r="E11" s="96">
        <v>91</v>
      </c>
      <c r="F11" s="95">
        <v>91</v>
      </c>
      <c r="G11" s="96">
        <v>91</v>
      </c>
      <c r="H11" s="95">
        <v>91</v>
      </c>
      <c r="I11" s="96">
        <v>91</v>
      </c>
      <c r="J11" s="95">
        <v>91</v>
      </c>
      <c r="K11" s="96">
        <v>91</v>
      </c>
      <c r="L11" s="72" t="s">
        <v>14</v>
      </c>
      <c r="M11" s="24" t="s">
        <v>13</v>
      </c>
      <c r="N11" s="72" t="s">
        <v>24</v>
      </c>
      <c r="O11" s="24" t="s">
        <v>611</v>
      </c>
    </row>
    <row r="12" spans="1:15" ht="15.75" thickBot="1">
      <c r="A12" s="18" t="s">
        <v>316</v>
      </c>
      <c r="B12" s="95">
        <v>0</v>
      </c>
      <c r="C12" s="96">
        <v>135</v>
      </c>
      <c r="D12" s="95">
        <v>135</v>
      </c>
      <c r="E12" s="96">
        <v>135</v>
      </c>
      <c r="F12" s="95">
        <v>135</v>
      </c>
      <c r="G12" s="96">
        <v>135</v>
      </c>
      <c r="H12" s="95">
        <v>135</v>
      </c>
      <c r="I12" s="96">
        <v>135</v>
      </c>
      <c r="J12" s="95">
        <v>135</v>
      </c>
      <c r="K12" s="96">
        <v>135</v>
      </c>
      <c r="L12" s="72" t="s">
        <v>14</v>
      </c>
      <c r="M12" s="24" t="s">
        <v>13</v>
      </c>
      <c r="N12" s="72" t="s">
        <v>24</v>
      </c>
      <c r="O12" s="24" t="s">
        <v>611</v>
      </c>
    </row>
    <row r="13" spans="1:15" ht="15.75" thickBot="1">
      <c r="A13" s="18" t="s">
        <v>42</v>
      </c>
      <c r="B13" s="95">
        <v>2720</v>
      </c>
      <c r="C13" s="96">
        <v>2720</v>
      </c>
      <c r="D13" s="95">
        <v>2720</v>
      </c>
      <c r="E13" s="96">
        <v>2720</v>
      </c>
      <c r="F13" s="95">
        <v>2720</v>
      </c>
      <c r="G13" s="96">
        <v>2720</v>
      </c>
      <c r="H13" s="95">
        <v>2720</v>
      </c>
      <c r="I13" s="96">
        <v>2720</v>
      </c>
      <c r="J13" s="95">
        <v>2720</v>
      </c>
      <c r="K13" s="96">
        <v>2720</v>
      </c>
      <c r="L13" s="72" t="s">
        <v>10</v>
      </c>
      <c r="M13" s="24" t="s">
        <v>610</v>
      </c>
      <c r="N13" s="72" t="s">
        <v>24</v>
      </c>
      <c r="O13" s="24" t="s">
        <v>611</v>
      </c>
    </row>
    <row r="14" spans="1:15" ht="15.75" thickBot="1">
      <c r="A14" s="18" t="s">
        <v>45</v>
      </c>
      <c r="B14" s="95">
        <v>10</v>
      </c>
      <c r="C14" s="96">
        <v>10</v>
      </c>
      <c r="D14" s="95">
        <v>10</v>
      </c>
      <c r="E14" s="96">
        <v>10</v>
      </c>
      <c r="F14" s="95">
        <v>10</v>
      </c>
      <c r="G14" s="96">
        <v>10</v>
      </c>
      <c r="H14" s="95">
        <v>10</v>
      </c>
      <c r="I14" s="96">
        <v>10</v>
      </c>
      <c r="J14" s="95">
        <v>10</v>
      </c>
      <c r="K14" s="96">
        <v>10</v>
      </c>
      <c r="L14" s="72" t="s">
        <v>14</v>
      </c>
      <c r="M14" s="24" t="s">
        <v>37</v>
      </c>
      <c r="N14" s="72" t="s">
        <v>24</v>
      </c>
      <c r="O14" s="24" t="s">
        <v>611</v>
      </c>
    </row>
    <row r="15" spans="1:15" ht="15.75" thickBot="1">
      <c r="A15" s="18" t="s">
        <v>613</v>
      </c>
      <c r="B15" s="95">
        <v>165.5</v>
      </c>
      <c r="C15" s="96">
        <v>165.5</v>
      </c>
      <c r="D15" s="95">
        <v>165.5</v>
      </c>
      <c r="E15" s="96">
        <v>165.5</v>
      </c>
      <c r="F15" s="95">
        <v>165.5</v>
      </c>
      <c r="G15" s="96">
        <v>165.5</v>
      </c>
      <c r="H15" s="95">
        <v>165.5</v>
      </c>
      <c r="I15" s="96">
        <v>165.5</v>
      </c>
      <c r="J15" s="95">
        <v>165.5</v>
      </c>
      <c r="K15" s="96">
        <v>165.5</v>
      </c>
      <c r="L15" s="72" t="s">
        <v>14</v>
      </c>
      <c r="M15" s="24" t="s">
        <v>13</v>
      </c>
      <c r="N15" s="72" t="s">
        <v>24</v>
      </c>
      <c r="O15" s="24" t="s">
        <v>611</v>
      </c>
    </row>
    <row r="16" spans="1:15" ht="15.75" thickBot="1">
      <c r="A16" s="18" t="s">
        <v>756</v>
      </c>
      <c r="B16" s="95">
        <v>46.5</v>
      </c>
      <c r="C16" s="96">
        <v>46.5</v>
      </c>
      <c r="D16" s="95">
        <v>46.5</v>
      </c>
      <c r="E16" s="96">
        <v>46.5</v>
      </c>
      <c r="F16" s="95">
        <v>46.5</v>
      </c>
      <c r="G16" s="96">
        <v>46.5</v>
      </c>
      <c r="H16" s="95">
        <v>46.5</v>
      </c>
      <c r="I16" s="96">
        <v>46.5</v>
      </c>
      <c r="J16" s="95">
        <v>46.5</v>
      </c>
      <c r="K16" s="96">
        <v>46.5</v>
      </c>
      <c r="L16" s="72" t="s">
        <v>14</v>
      </c>
      <c r="M16" s="24" t="s">
        <v>13</v>
      </c>
      <c r="N16" s="72" t="s">
        <v>24</v>
      </c>
      <c r="O16" s="24" t="s">
        <v>611</v>
      </c>
    </row>
    <row r="17" spans="1:15" ht="15.75" thickBot="1">
      <c r="A17" s="18" t="s">
        <v>50</v>
      </c>
      <c r="B17" s="95">
        <v>34</v>
      </c>
      <c r="C17" s="96">
        <v>68</v>
      </c>
      <c r="D17" s="95">
        <v>68</v>
      </c>
      <c r="E17" s="96">
        <v>68</v>
      </c>
      <c r="F17" s="95">
        <v>68</v>
      </c>
      <c r="G17" s="96">
        <v>68</v>
      </c>
      <c r="H17" s="95">
        <v>68</v>
      </c>
      <c r="I17" s="96">
        <v>68</v>
      </c>
      <c r="J17" s="95">
        <v>68</v>
      </c>
      <c r="K17" s="96">
        <v>68</v>
      </c>
      <c r="L17" s="72" t="s">
        <v>10</v>
      </c>
      <c r="M17" s="24" t="s">
        <v>612</v>
      </c>
      <c r="N17" s="72" t="s">
        <v>24</v>
      </c>
      <c r="O17" s="24" t="s">
        <v>611</v>
      </c>
    </row>
    <row r="18" spans="1:15" ht="15.75" thickBot="1">
      <c r="A18" s="18" t="s">
        <v>54</v>
      </c>
      <c r="B18" s="95">
        <v>29</v>
      </c>
      <c r="C18" s="96">
        <v>29</v>
      </c>
      <c r="D18" s="95">
        <v>29</v>
      </c>
      <c r="E18" s="96">
        <v>29</v>
      </c>
      <c r="F18" s="95">
        <v>29</v>
      </c>
      <c r="G18" s="96">
        <v>29</v>
      </c>
      <c r="H18" s="95">
        <v>29</v>
      </c>
      <c r="I18" s="96">
        <v>29</v>
      </c>
      <c r="J18" s="95">
        <v>29</v>
      </c>
      <c r="K18" s="96">
        <v>29</v>
      </c>
      <c r="L18" s="72" t="s">
        <v>10</v>
      </c>
      <c r="M18" s="24" t="s">
        <v>612</v>
      </c>
      <c r="N18" s="72" t="s">
        <v>24</v>
      </c>
      <c r="O18" s="24" t="s">
        <v>611</v>
      </c>
    </row>
    <row r="19" spans="1:15" ht="15.75" thickBot="1">
      <c r="A19" s="18" t="s">
        <v>57</v>
      </c>
      <c r="B19" s="95">
        <v>30</v>
      </c>
      <c r="C19" s="96">
        <v>30</v>
      </c>
      <c r="D19" s="95">
        <v>30</v>
      </c>
      <c r="E19" s="96">
        <v>30</v>
      </c>
      <c r="F19" s="95">
        <v>30</v>
      </c>
      <c r="G19" s="96">
        <v>30</v>
      </c>
      <c r="H19" s="95">
        <v>30</v>
      </c>
      <c r="I19" s="96">
        <v>30</v>
      </c>
      <c r="J19" s="95">
        <v>30</v>
      </c>
      <c r="K19" s="96">
        <v>30</v>
      </c>
      <c r="L19" s="72" t="s">
        <v>10</v>
      </c>
      <c r="M19" s="24" t="s">
        <v>610</v>
      </c>
      <c r="N19" s="72" t="s">
        <v>24</v>
      </c>
      <c r="O19" s="24" t="s">
        <v>611</v>
      </c>
    </row>
    <row r="20" spans="1:15" ht="15.75" thickBot="1">
      <c r="A20" s="18" t="s">
        <v>59</v>
      </c>
      <c r="B20" s="95">
        <v>1800</v>
      </c>
      <c r="C20" s="96">
        <v>1800</v>
      </c>
      <c r="D20" s="95">
        <v>1800</v>
      </c>
      <c r="E20" s="96">
        <v>1800</v>
      </c>
      <c r="F20" s="95">
        <v>0</v>
      </c>
      <c r="G20" s="96">
        <v>0</v>
      </c>
      <c r="H20" s="95">
        <v>0</v>
      </c>
      <c r="I20" s="96">
        <v>0</v>
      </c>
      <c r="J20" s="95">
        <v>0</v>
      </c>
      <c r="K20" s="96">
        <v>0</v>
      </c>
      <c r="L20" s="72" t="s">
        <v>10</v>
      </c>
      <c r="M20" s="24" t="s">
        <v>610</v>
      </c>
      <c r="N20" s="72" t="s">
        <v>24</v>
      </c>
      <c r="O20" s="24" t="s">
        <v>611</v>
      </c>
    </row>
    <row r="21" spans="1:15" ht="15.75" thickBot="1">
      <c r="A21" s="18" t="s">
        <v>62</v>
      </c>
      <c r="B21" s="95">
        <v>46.7</v>
      </c>
      <c r="C21" s="96">
        <v>46.7</v>
      </c>
      <c r="D21" s="95">
        <v>46.7</v>
      </c>
      <c r="E21" s="96">
        <v>46.7</v>
      </c>
      <c r="F21" s="95">
        <v>46.7</v>
      </c>
      <c r="G21" s="96">
        <v>46.7</v>
      </c>
      <c r="H21" s="95">
        <v>46.7</v>
      </c>
      <c r="I21" s="96">
        <v>46.7</v>
      </c>
      <c r="J21" s="95">
        <v>46.7</v>
      </c>
      <c r="K21" s="96">
        <v>46.7</v>
      </c>
      <c r="L21" s="72" t="s">
        <v>14</v>
      </c>
      <c r="M21" s="24" t="s">
        <v>37</v>
      </c>
      <c r="N21" s="72" t="s">
        <v>24</v>
      </c>
      <c r="O21" s="24" t="s">
        <v>611</v>
      </c>
    </row>
    <row r="22" spans="1:15" ht="15.75" thickBot="1">
      <c r="A22" s="18" t="s">
        <v>65</v>
      </c>
      <c r="B22" s="95">
        <v>55.6</v>
      </c>
      <c r="C22" s="96">
        <v>55.2</v>
      </c>
      <c r="D22" s="95">
        <v>54.8</v>
      </c>
      <c r="E22" s="96">
        <v>54.4</v>
      </c>
      <c r="F22" s="95">
        <v>54.1</v>
      </c>
      <c r="G22" s="96">
        <v>53.7</v>
      </c>
      <c r="H22" s="95">
        <v>53.3</v>
      </c>
      <c r="I22" s="96">
        <v>52.9</v>
      </c>
      <c r="J22" s="95">
        <v>52.6</v>
      </c>
      <c r="K22" s="96">
        <v>52.2</v>
      </c>
      <c r="L22" s="72" t="s">
        <v>14</v>
      </c>
      <c r="M22" s="24" t="s">
        <v>37</v>
      </c>
      <c r="N22" s="72" t="s">
        <v>24</v>
      </c>
      <c r="O22" s="24" t="s">
        <v>611</v>
      </c>
    </row>
    <row r="23" spans="1:15" ht="15.75" thickBot="1">
      <c r="A23" s="18" t="s">
        <v>68</v>
      </c>
      <c r="B23" s="95">
        <v>1300</v>
      </c>
      <c r="C23" s="96">
        <v>1300</v>
      </c>
      <c r="D23" s="95">
        <v>1300</v>
      </c>
      <c r="E23" s="96">
        <v>1300</v>
      </c>
      <c r="F23" s="95">
        <v>1300</v>
      </c>
      <c r="G23" s="96">
        <v>1300</v>
      </c>
      <c r="H23" s="95">
        <v>1300</v>
      </c>
      <c r="I23" s="96">
        <v>1300</v>
      </c>
      <c r="J23" s="95">
        <v>1300</v>
      </c>
      <c r="K23" s="96">
        <v>1300</v>
      </c>
      <c r="L23" s="72" t="s">
        <v>10</v>
      </c>
      <c r="M23" s="24" t="s">
        <v>610</v>
      </c>
      <c r="N23" s="72" t="s">
        <v>24</v>
      </c>
      <c r="O23" s="24" t="s">
        <v>611</v>
      </c>
    </row>
    <row r="24" spans="1:15" ht="15.75" thickBot="1">
      <c r="A24" s="18" t="s">
        <v>757</v>
      </c>
      <c r="B24" s="95">
        <v>102</v>
      </c>
      <c r="C24" s="96">
        <v>102</v>
      </c>
      <c r="D24" s="95">
        <v>102</v>
      </c>
      <c r="E24" s="96">
        <v>102</v>
      </c>
      <c r="F24" s="95">
        <v>102</v>
      </c>
      <c r="G24" s="96">
        <v>102</v>
      </c>
      <c r="H24" s="95">
        <v>102</v>
      </c>
      <c r="I24" s="96">
        <v>102</v>
      </c>
      <c r="J24" s="95">
        <v>102</v>
      </c>
      <c r="K24" s="96">
        <v>102</v>
      </c>
      <c r="L24" s="72" t="s">
        <v>14</v>
      </c>
      <c r="M24" s="24" t="s">
        <v>37</v>
      </c>
      <c r="N24" s="72" t="s">
        <v>24</v>
      </c>
      <c r="O24" s="24" t="s">
        <v>611</v>
      </c>
    </row>
    <row r="25" spans="1:15" ht="15.75" thickBot="1">
      <c r="A25" s="18" t="s">
        <v>71</v>
      </c>
      <c r="B25" s="95">
        <v>50.5</v>
      </c>
      <c r="C25" s="96">
        <v>55</v>
      </c>
      <c r="D25" s="95">
        <v>55</v>
      </c>
      <c r="E25" s="96">
        <v>55</v>
      </c>
      <c r="F25" s="95">
        <v>55</v>
      </c>
      <c r="G25" s="96">
        <v>55</v>
      </c>
      <c r="H25" s="95">
        <v>55</v>
      </c>
      <c r="I25" s="96">
        <v>55</v>
      </c>
      <c r="J25" s="95">
        <v>55</v>
      </c>
      <c r="K25" s="96">
        <v>55</v>
      </c>
      <c r="L25" s="72" t="s">
        <v>14</v>
      </c>
      <c r="M25" s="24" t="s">
        <v>37</v>
      </c>
      <c r="N25" s="72" t="s">
        <v>24</v>
      </c>
      <c r="O25" s="24" t="s">
        <v>611</v>
      </c>
    </row>
    <row r="26" spans="1:15" ht="15.75" thickBot="1">
      <c r="A26" s="18" t="s">
        <v>73</v>
      </c>
      <c r="B26" s="95">
        <v>187</v>
      </c>
      <c r="C26" s="96">
        <v>187</v>
      </c>
      <c r="D26" s="95">
        <v>187</v>
      </c>
      <c r="E26" s="96">
        <v>187</v>
      </c>
      <c r="F26" s="95">
        <v>187</v>
      </c>
      <c r="G26" s="96">
        <v>187</v>
      </c>
      <c r="H26" s="95">
        <v>187</v>
      </c>
      <c r="I26" s="96">
        <v>187</v>
      </c>
      <c r="J26" s="95">
        <v>187</v>
      </c>
      <c r="K26" s="96">
        <v>187</v>
      </c>
      <c r="L26" s="72" t="s">
        <v>14</v>
      </c>
      <c r="M26" s="24" t="s">
        <v>13</v>
      </c>
      <c r="N26" s="72" t="s">
        <v>24</v>
      </c>
      <c r="O26" s="24" t="s">
        <v>611</v>
      </c>
    </row>
    <row r="27" spans="1:15" ht="15.75" thickBot="1">
      <c r="A27" s="18" t="s">
        <v>76</v>
      </c>
      <c r="B27" s="95">
        <v>240</v>
      </c>
      <c r="C27" s="96">
        <v>240</v>
      </c>
      <c r="D27" s="95">
        <v>240</v>
      </c>
      <c r="E27" s="96">
        <v>240</v>
      </c>
      <c r="F27" s="95">
        <v>240</v>
      </c>
      <c r="G27" s="96">
        <v>240</v>
      </c>
      <c r="H27" s="95">
        <v>240</v>
      </c>
      <c r="I27" s="96">
        <v>240</v>
      </c>
      <c r="J27" s="95">
        <v>240</v>
      </c>
      <c r="K27" s="96">
        <v>240</v>
      </c>
      <c r="L27" s="72" t="s">
        <v>10</v>
      </c>
      <c r="M27" s="24" t="s">
        <v>612</v>
      </c>
      <c r="N27" s="72" t="s">
        <v>24</v>
      </c>
      <c r="O27" s="24" t="s">
        <v>611</v>
      </c>
    </row>
    <row r="28" spans="1:15" ht="15.75" thickBot="1">
      <c r="A28" s="18" t="s">
        <v>614</v>
      </c>
      <c r="B28" s="95">
        <v>0</v>
      </c>
      <c r="C28" s="96">
        <v>0</v>
      </c>
      <c r="D28" s="95">
        <v>0</v>
      </c>
      <c r="E28" s="96">
        <v>0</v>
      </c>
      <c r="F28" s="95">
        <v>0</v>
      </c>
      <c r="G28" s="96">
        <v>0</v>
      </c>
      <c r="H28" s="95">
        <v>0</v>
      </c>
      <c r="I28" s="96">
        <v>0</v>
      </c>
      <c r="J28" s="95">
        <v>0</v>
      </c>
      <c r="K28" s="96">
        <v>0</v>
      </c>
      <c r="L28" s="72" t="s">
        <v>10</v>
      </c>
      <c r="M28" s="24" t="s">
        <v>612</v>
      </c>
      <c r="N28" s="72" t="s">
        <v>24</v>
      </c>
      <c r="O28" s="24" t="s">
        <v>611</v>
      </c>
    </row>
    <row r="29" spans="1:15" ht="15.75" thickBot="1">
      <c r="A29" s="18" t="s">
        <v>78</v>
      </c>
      <c r="B29" s="95">
        <v>198</v>
      </c>
      <c r="C29" s="96">
        <v>198</v>
      </c>
      <c r="D29" s="95">
        <v>198</v>
      </c>
      <c r="E29" s="96">
        <v>198</v>
      </c>
      <c r="F29" s="95">
        <v>198</v>
      </c>
      <c r="G29" s="96">
        <v>198</v>
      </c>
      <c r="H29" s="95">
        <v>198</v>
      </c>
      <c r="I29" s="96">
        <v>198</v>
      </c>
      <c r="J29" s="95">
        <v>198</v>
      </c>
      <c r="K29" s="96">
        <v>198</v>
      </c>
      <c r="L29" s="72" t="s">
        <v>14</v>
      </c>
      <c r="M29" s="24" t="s">
        <v>13</v>
      </c>
      <c r="N29" s="72" t="s">
        <v>24</v>
      </c>
      <c r="O29" s="24" t="s">
        <v>611</v>
      </c>
    </row>
    <row r="30" spans="1:15" ht="15.75" thickBot="1">
      <c r="A30" s="18" t="s">
        <v>81</v>
      </c>
      <c r="B30" s="95">
        <v>108.999</v>
      </c>
      <c r="C30" s="96">
        <v>108.999</v>
      </c>
      <c r="D30" s="95">
        <v>108.999</v>
      </c>
      <c r="E30" s="96">
        <v>108.999</v>
      </c>
      <c r="F30" s="95">
        <v>108.999</v>
      </c>
      <c r="G30" s="96">
        <v>108.999</v>
      </c>
      <c r="H30" s="95">
        <v>108.999</v>
      </c>
      <c r="I30" s="96">
        <v>108.999</v>
      </c>
      <c r="J30" s="95">
        <v>108.999</v>
      </c>
      <c r="K30" s="96">
        <v>108.999</v>
      </c>
      <c r="L30" s="72" t="s">
        <v>10</v>
      </c>
      <c r="M30" s="24" t="s">
        <v>610</v>
      </c>
      <c r="N30" s="72" t="s">
        <v>24</v>
      </c>
      <c r="O30" s="24" t="s">
        <v>611</v>
      </c>
    </row>
    <row r="31" spans="1:15" ht="15.75" thickBot="1">
      <c r="A31" s="18" t="s">
        <v>84</v>
      </c>
      <c r="B31" s="95">
        <v>378</v>
      </c>
      <c r="C31" s="96">
        <v>378</v>
      </c>
      <c r="D31" s="95">
        <v>378</v>
      </c>
      <c r="E31" s="96">
        <v>378</v>
      </c>
      <c r="F31" s="95">
        <v>378</v>
      </c>
      <c r="G31" s="96">
        <v>378</v>
      </c>
      <c r="H31" s="95">
        <v>378</v>
      </c>
      <c r="I31" s="96">
        <v>378</v>
      </c>
      <c r="J31" s="95">
        <v>378</v>
      </c>
      <c r="K31" s="96">
        <v>378</v>
      </c>
      <c r="L31" s="72" t="s">
        <v>10</v>
      </c>
      <c r="M31" s="24" t="s">
        <v>610</v>
      </c>
      <c r="N31" s="72" t="s">
        <v>24</v>
      </c>
      <c r="O31" s="24" t="s">
        <v>611</v>
      </c>
    </row>
    <row r="32" spans="1:15" ht="15.75" thickBot="1">
      <c r="A32" s="18" t="s">
        <v>758</v>
      </c>
      <c r="B32" s="95">
        <v>106.8</v>
      </c>
      <c r="C32" s="96">
        <v>106.8</v>
      </c>
      <c r="D32" s="95">
        <v>106.8</v>
      </c>
      <c r="E32" s="96">
        <v>106.8</v>
      </c>
      <c r="F32" s="95">
        <v>106.8</v>
      </c>
      <c r="G32" s="96">
        <v>106.8</v>
      </c>
      <c r="H32" s="95">
        <v>106.8</v>
      </c>
      <c r="I32" s="96">
        <v>106.8</v>
      </c>
      <c r="J32" s="95">
        <v>106.8</v>
      </c>
      <c r="K32" s="96">
        <v>106.8</v>
      </c>
      <c r="L32" s="72" t="s">
        <v>14</v>
      </c>
      <c r="M32" s="24" t="s">
        <v>13</v>
      </c>
      <c r="N32" s="72" t="s">
        <v>24</v>
      </c>
      <c r="O32" s="24" t="s">
        <v>611</v>
      </c>
    </row>
    <row r="33" spans="1:15" ht="15.75" thickBot="1">
      <c r="A33" s="18" t="s">
        <v>89</v>
      </c>
      <c r="B33" s="95">
        <v>1800</v>
      </c>
      <c r="C33" s="96">
        <v>1800</v>
      </c>
      <c r="D33" s="95">
        <v>1800</v>
      </c>
      <c r="E33" s="96">
        <v>1800</v>
      </c>
      <c r="F33" s="95">
        <v>1800</v>
      </c>
      <c r="G33" s="96">
        <v>1800</v>
      </c>
      <c r="H33" s="95">
        <v>1800</v>
      </c>
      <c r="I33" s="96">
        <v>1800</v>
      </c>
      <c r="J33" s="95">
        <v>1800</v>
      </c>
      <c r="K33" s="96">
        <v>1800</v>
      </c>
      <c r="L33" s="72" t="s">
        <v>10</v>
      </c>
      <c r="M33" s="24" t="s">
        <v>612</v>
      </c>
      <c r="N33" s="72" t="s">
        <v>24</v>
      </c>
      <c r="O33" s="24" t="s">
        <v>611</v>
      </c>
    </row>
    <row r="34" spans="1:15" ht="15.75" thickBot="1">
      <c r="A34" s="18" t="s">
        <v>91</v>
      </c>
      <c r="B34" s="95">
        <v>616</v>
      </c>
      <c r="C34" s="96">
        <v>544</v>
      </c>
      <c r="D34" s="95">
        <v>616</v>
      </c>
      <c r="E34" s="96">
        <v>616</v>
      </c>
      <c r="F34" s="95">
        <v>616</v>
      </c>
      <c r="G34" s="96">
        <v>616</v>
      </c>
      <c r="H34" s="95">
        <v>616</v>
      </c>
      <c r="I34" s="96">
        <v>616</v>
      </c>
      <c r="J34" s="95">
        <v>616</v>
      </c>
      <c r="K34" s="96">
        <v>616</v>
      </c>
      <c r="L34" s="72" t="s">
        <v>10</v>
      </c>
      <c r="M34" s="24" t="s">
        <v>612</v>
      </c>
      <c r="N34" s="72" t="s">
        <v>24</v>
      </c>
      <c r="O34" s="24" t="s">
        <v>611</v>
      </c>
    </row>
    <row r="35" spans="1:15" ht="15.75" thickBot="1">
      <c r="A35" s="18" t="s">
        <v>93</v>
      </c>
      <c r="B35" s="95">
        <v>640</v>
      </c>
      <c r="C35" s="96">
        <v>640</v>
      </c>
      <c r="D35" s="95">
        <v>640</v>
      </c>
      <c r="E35" s="96">
        <v>640</v>
      </c>
      <c r="F35" s="95">
        <v>640</v>
      </c>
      <c r="G35" s="96">
        <v>640</v>
      </c>
      <c r="H35" s="95">
        <v>640</v>
      </c>
      <c r="I35" s="96">
        <v>640</v>
      </c>
      <c r="J35" s="95">
        <v>640</v>
      </c>
      <c r="K35" s="96">
        <v>640</v>
      </c>
      <c r="L35" s="72" t="s">
        <v>10</v>
      </c>
      <c r="M35" s="24" t="s">
        <v>610</v>
      </c>
      <c r="N35" s="72" t="s">
        <v>24</v>
      </c>
      <c r="O35" s="24" t="s">
        <v>611</v>
      </c>
    </row>
    <row r="36" spans="1:15" ht="15.75" thickBot="1">
      <c r="A36" s="18" t="s">
        <v>96</v>
      </c>
      <c r="B36" s="95">
        <v>1320</v>
      </c>
      <c r="C36" s="96">
        <v>1320</v>
      </c>
      <c r="D36" s="95">
        <v>1320</v>
      </c>
      <c r="E36" s="96">
        <v>1320</v>
      </c>
      <c r="F36" s="95">
        <v>1320</v>
      </c>
      <c r="G36" s="96">
        <v>1320</v>
      </c>
      <c r="H36" s="95">
        <v>1320</v>
      </c>
      <c r="I36" s="96">
        <v>1320</v>
      </c>
      <c r="J36" s="95">
        <v>1320</v>
      </c>
      <c r="K36" s="96">
        <v>1320</v>
      </c>
      <c r="L36" s="72" t="s">
        <v>10</v>
      </c>
      <c r="M36" s="24" t="s">
        <v>610</v>
      </c>
      <c r="N36" s="72" t="s">
        <v>24</v>
      </c>
      <c r="O36" s="24" t="s">
        <v>611</v>
      </c>
    </row>
    <row r="37" spans="1:15" ht="15.75" thickBot="1">
      <c r="A37" s="18" t="s">
        <v>664</v>
      </c>
      <c r="B37" s="95">
        <v>0</v>
      </c>
      <c r="C37" s="96">
        <v>0</v>
      </c>
      <c r="D37" s="95">
        <v>0</v>
      </c>
      <c r="E37" s="96">
        <v>0</v>
      </c>
      <c r="F37" s="95">
        <v>0</v>
      </c>
      <c r="G37" s="96">
        <v>0</v>
      </c>
      <c r="H37" s="95">
        <v>0</v>
      </c>
      <c r="I37" s="96">
        <v>0</v>
      </c>
      <c r="J37" s="95">
        <v>0</v>
      </c>
      <c r="K37" s="96">
        <v>0</v>
      </c>
      <c r="L37" s="72" t="s">
        <v>14</v>
      </c>
      <c r="M37" s="24" t="s">
        <v>37</v>
      </c>
      <c r="N37" s="72" t="s">
        <v>24</v>
      </c>
      <c r="O37" s="24" t="s">
        <v>611</v>
      </c>
    </row>
    <row r="38" spans="1:15" ht="15.75" thickBot="1">
      <c r="A38" s="18" t="s">
        <v>665</v>
      </c>
      <c r="B38" s="95">
        <v>172.5</v>
      </c>
      <c r="C38" s="96">
        <v>172.5</v>
      </c>
      <c r="D38" s="95">
        <v>172.5</v>
      </c>
      <c r="E38" s="96">
        <v>172.5</v>
      </c>
      <c r="F38" s="95">
        <v>172.5</v>
      </c>
      <c r="G38" s="96">
        <v>172.5</v>
      </c>
      <c r="H38" s="95">
        <v>172.5</v>
      </c>
      <c r="I38" s="96">
        <v>172.5</v>
      </c>
      <c r="J38" s="95">
        <v>172.5</v>
      </c>
      <c r="K38" s="96">
        <v>172.5</v>
      </c>
      <c r="L38" s="72" t="s">
        <v>14</v>
      </c>
      <c r="M38" s="24" t="s">
        <v>13</v>
      </c>
      <c r="N38" s="72" t="s">
        <v>24</v>
      </c>
      <c r="O38" s="24" t="s">
        <v>611</v>
      </c>
    </row>
    <row r="39" spans="1:15">
      <c r="A39" s="20" t="s">
        <v>99</v>
      </c>
      <c r="B39" s="97">
        <v>48.3</v>
      </c>
      <c r="C39" s="98">
        <v>48.3</v>
      </c>
      <c r="D39" s="97">
        <v>48.3</v>
      </c>
      <c r="E39" s="98">
        <v>48.3</v>
      </c>
      <c r="F39" s="97">
        <v>48.3</v>
      </c>
      <c r="G39" s="98">
        <v>48.3</v>
      </c>
      <c r="H39" s="97">
        <v>48.3</v>
      </c>
      <c r="I39" s="98">
        <v>48.3</v>
      </c>
      <c r="J39" s="97">
        <v>48.3</v>
      </c>
      <c r="K39" s="98">
        <v>48.3</v>
      </c>
      <c r="L39" s="74" t="s">
        <v>14</v>
      </c>
      <c r="M39" s="26" t="s">
        <v>13</v>
      </c>
      <c r="N39" s="74" t="s">
        <v>24</v>
      </c>
      <c r="O39" s="26" t="s">
        <v>611</v>
      </c>
    </row>
    <row r="40" spans="1:15" ht="16.5" customHeight="1" thickBot="1"/>
    <row r="41" spans="1:15" ht="17.25" customHeight="1" thickBot="1">
      <c r="A41" s="53" t="s">
        <v>102</v>
      </c>
      <c r="B41" s="99">
        <f>SUM(sumcapsalltable[2018-19])</f>
        <v>15964.679</v>
      </c>
      <c r="C41" s="99">
        <f>SUM(sumcapsalltable[2019-20])</f>
        <v>16177.779</v>
      </c>
      <c r="D41" s="99">
        <f>SUM(sumcapsalltable[2020-21])</f>
        <v>16274.378999999999</v>
      </c>
      <c r="E41" s="99">
        <f>SUM(sumcapsalltable[2021-22])</f>
        <v>16298.978999999999</v>
      </c>
      <c r="F41" s="99">
        <f>SUM(sumcapsalltable[2022-23])</f>
        <v>14523.679</v>
      </c>
      <c r="G41" s="99">
        <f>SUM(sumcapsalltable[2023-24])</f>
        <v>14523.278999999999</v>
      </c>
      <c r="H41" s="99">
        <f>SUM(sumcapsalltable[2024-25])</f>
        <v>14522.878999999999</v>
      </c>
      <c r="I41" s="99">
        <f>SUM(sumcapsalltable[2025-26])</f>
        <v>14522.478999999999</v>
      </c>
      <c r="J41" s="99">
        <f>SUM(sumcapsalltable[2026-27])</f>
        <v>14522.179</v>
      </c>
      <c r="K41" s="99">
        <f>SUM(sumcapsalltable[2027-28])</f>
        <v>14521.778999999999</v>
      </c>
    </row>
    <row r="42" spans="1:15" ht="18.75" customHeight="1"/>
    <row r="43" spans="1:15" ht="27" customHeight="1">
      <c r="A43" s="151" t="s">
        <v>615</v>
      </c>
      <c r="B43" s="152"/>
      <c r="C43" s="152"/>
      <c r="D43" s="152"/>
      <c r="E43" s="152"/>
      <c r="F43" s="152"/>
      <c r="G43" s="152"/>
      <c r="H43" s="152"/>
      <c r="I43" s="152"/>
      <c r="J43" s="152"/>
      <c r="K43" s="152"/>
      <c r="L43" s="152"/>
    </row>
    <row r="44" spans="1:15" ht="42" customHeight="1">
      <c r="A44" s="151" t="s">
        <v>616</v>
      </c>
      <c r="B44" s="152"/>
      <c r="C44" s="152"/>
      <c r="D44" s="152"/>
      <c r="E44" s="152"/>
      <c r="F44" s="152"/>
      <c r="G44" s="152"/>
      <c r="H44" s="152"/>
      <c r="I44" s="152"/>
      <c r="J44" s="152"/>
      <c r="K44" s="152"/>
      <c r="L44" s="152"/>
    </row>
    <row r="45" spans="1:15" ht="45" customHeight="1">
      <c r="A45" s="151" t="s">
        <v>617</v>
      </c>
      <c r="B45" s="152"/>
      <c r="C45" s="152"/>
      <c r="D45" s="152"/>
      <c r="E45" s="152"/>
      <c r="F45" s="152"/>
      <c r="G45" s="152"/>
      <c r="H45" s="152"/>
      <c r="I45" s="152"/>
      <c r="J45" s="152"/>
      <c r="K45" s="152"/>
      <c r="L45" s="152"/>
    </row>
    <row r="46" spans="1:15" ht="56.25" customHeight="1">
      <c r="A46" s="151" t="s">
        <v>618</v>
      </c>
      <c r="B46" s="152"/>
      <c r="C46" s="152"/>
      <c r="D46" s="152"/>
      <c r="E46" s="152"/>
      <c r="F46" s="152"/>
      <c r="G46" s="152"/>
      <c r="H46" s="152"/>
      <c r="I46" s="152"/>
      <c r="J46" s="152"/>
      <c r="K46" s="152"/>
      <c r="L46" s="152"/>
    </row>
    <row r="47" spans="1:15" ht="15.75" thickBot="1">
      <c r="A47" s="91"/>
      <c r="B47" s="91"/>
      <c r="C47" s="91"/>
      <c r="D47" s="91"/>
      <c r="E47" s="91"/>
      <c r="F47" s="91"/>
      <c r="G47" s="91"/>
      <c r="H47" s="91"/>
      <c r="I47" s="91"/>
      <c r="J47" s="91"/>
      <c r="K47" s="91"/>
      <c r="L47" s="91"/>
    </row>
    <row r="48" spans="1:15" ht="20.25" thickBot="1">
      <c r="A48" s="49" t="s">
        <v>619</v>
      </c>
    </row>
    <row r="49" spans="1:15" ht="15.75" thickBot="1">
      <c r="A49" s="138" t="s">
        <v>1</v>
      </c>
      <c r="B49" s="138" t="s">
        <v>761</v>
      </c>
      <c r="C49" s="138" t="s">
        <v>762</v>
      </c>
      <c r="D49" s="138" t="s">
        <v>763</v>
      </c>
      <c r="E49" s="138" t="s">
        <v>764</v>
      </c>
      <c r="F49" s="138" t="s">
        <v>765</v>
      </c>
      <c r="G49" s="138" t="s">
        <v>766</v>
      </c>
      <c r="H49" s="138" t="s">
        <v>767</v>
      </c>
      <c r="I49" s="138" t="s">
        <v>768</v>
      </c>
      <c r="J49" s="138" t="s">
        <v>769</v>
      </c>
      <c r="K49" s="138" t="s">
        <v>770</v>
      </c>
      <c r="L49" s="138" t="s">
        <v>5</v>
      </c>
      <c r="M49" s="68" t="s">
        <v>608</v>
      </c>
      <c r="N49" s="68" t="s">
        <v>7</v>
      </c>
      <c r="O49" s="68" t="s">
        <v>609</v>
      </c>
    </row>
    <row r="50" spans="1:15" ht="15.75" thickBot="1">
      <c r="A50" s="3" t="s">
        <v>19</v>
      </c>
      <c r="B50" s="100">
        <v>2520</v>
      </c>
      <c r="C50" s="101">
        <v>2545</v>
      </c>
      <c r="D50" s="100">
        <v>2570</v>
      </c>
      <c r="E50" s="101">
        <v>2595</v>
      </c>
      <c r="F50" s="100">
        <v>2620</v>
      </c>
      <c r="G50" s="101">
        <v>2620</v>
      </c>
      <c r="H50" s="100">
        <v>2620</v>
      </c>
      <c r="I50" s="101">
        <v>2620</v>
      </c>
      <c r="J50" s="100">
        <v>2620</v>
      </c>
      <c r="K50" s="101">
        <v>2620</v>
      </c>
      <c r="L50" s="51" t="s">
        <v>10</v>
      </c>
      <c r="M50" s="52" t="s">
        <v>610</v>
      </c>
      <c r="N50" s="51" t="s">
        <v>24</v>
      </c>
      <c r="O50" s="52" t="s">
        <v>611</v>
      </c>
    </row>
    <row r="51" spans="1:15" ht="15.75" thickBot="1">
      <c r="A51" s="3" t="s">
        <v>25</v>
      </c>
      <c r="B51" s="100">
        <v>80</v>
      </c>
      <c r="C51" s="101">
        <v>80</v>
      </c>
      <c r="D51" s="100">
        <v>80</v>
      </c>
      <c r="E51" s="101">
        <v>80</v>
      </c>
      <c r="F51" s="100">
        <v>80</v>
      </c>
      <c r="G51" s="101">
        <v>80</v>
      </c>
      <c r="H51" s="100">
        <v>80</v>
      </c>
      <c r="I51" s="101">
        <v>80</v>
      </c>
      <c r="J51" s="100">
        <v>80</v>
      </c>
      <c r="K51" s="101">
        <v>80</v>
      </c>
      <c r="L51" s="51" t="s">
        <v>10</v>
      </c>
      <c r="M51" s="52" t="s">
        <v>612</v>
      </c>
      <c r="N51" s="51" t="s">
        <v>24</v>
      </c>
      <c r="O51" s="52" t="s">
        <v>611</v>
      </c>
    </row>
    <row r="52" spans="1:15" ht="15.75" thickBot="1">
      <c r="A52" s="3" t="s">
        <v>39</v>
      </c>
      <c r="B52" s="100">
        <v>648</v>
      </c>
      <c r="C52" s="101">
        <v>648</v>
      </c>
      <c r="D52" s="100">
        <v>648</v>
      </c>
      <c r="E52" s="101">
        <v>648</v>
      </c>
      <c r="F52" s="100">
        <v>648</v>
      </c>
      <c r="G52" s="101">
        <v>648</v>
      </c>
      <c r="H52" s="100">
        <v>648</v>
      </c>
      <c r="I52" s="101">
        <v>648</v>
      </c>
      <c r="J52" s="100">
        <v>648</v>
      </c>
      <c r="K52" s="101">
        <v>648</v>
      </c>
      <c r="L52" s="51" t="s">
        <v>10</v>
      </c>
      <c r="M52" s="52" t="s">
        <v>610</v>
      </c>
      <c r="N52" s="51" t="s">
        <v>24</v>
      </c>
      <c r="O52" s="52" t="s">
        <v>611</v>
      </c>
    </row>
    <row r="53" spans="1:15" ht="15.75" thickBot="1">
      <c r="A53" s="3" t="s">
        <v>42</v>
      </c>
      <c r="B53" s="100">
        <v>2720</v>
      </c>
      <c r="C53" s="101">
        <v>2720</v>
      </c>
      <c r="D53" s="100">
        <v>2720</v>
      </c>
      <c r="E53" s="101">
        <v>2720</v>
      </c>
      <c r="F53" s="100">
        <v>2720</v>
      </c>
      <c r="G53" s="101">
        <v>2720</v>
      </c>
      <c r="H53" s="100">
        <v>2720</v>
      </c>
      <c r="I53" s="101">
        <v>2720</v>
      </c>
      <c r="J53" s="100">
        <v>2720</v>
      </c>
      <c r="K53" s="101">
        <v>2720</v>
      </c>
      <c r="L53" s="51" t="s">
        <v>10</v>
      </c>
      <c r="M53" s="52" t="s">
        <v>610</v>
      </c>
      <c r="N53" s="51" t="s">
        <v>24</v>
      </c>
      <c r="O53" s="52" t="s">
        <v>611</v>
      </c>
    </row>
    <row r="54" spans="1:15" ht="15.75" thickBot="1">
      <c r="A54" s="3" t="s">
        <v>50</v>
      </c>
      <c r="B54" s="100">
        <v>34</v>
      </c>
      <c r="C54" s="101">
        <v>68</v>
      </c>
      <c r="D54" s="100">
        <v>68</v>
      </c>
      <c r="E54" s="101">
        <v>68</v>
      </c>
      <c r="F54" s="100">
        <v>68</v>
      </c>
      <c r="G54" s="101">
        <v>68</v>
      </c>
      <c r="H54" s="100">
        <v>68</v>
      </c>
      <c r="I54" s="101">
        <v>68</v>
      </c>
      <c r="J54" s="100">
        <v>68</v>
      </c>
      <c r="K54" s="101">
        <v>68</v>
      </c>
      <c r="L54" s="51" t="s">
        <v>10</v>
      </c>
      <c r="M54" s="52" t="s">
        <v>612</v>
      </c>
      <c r="N54" s="51" t="s">
        <v>24</v>
      </c>
      <c r="O54" s="52" t="s">
        <v>611</v>
      </c>
    </row>
    <row r="55" spans="1:15" ht="15.75" thickBot="1">
      <c r="A55" s="3" t="s">
        <v>54</v>
      </c>
      <c r="B55" s="100">
        <v>29</v>
      </c>
      <c r="C55" s="101">
        <v>29</v>
      </c>
      <c r="D55" s="100">
        <v>29</v>
      </c>
      <c r="E55" s="101">
        <v>29</v>
      </c>
      <c r="F55" s="100">
        <v>29</v>
      </c>
      <c r="G55" s="101">
        <v>29</v>
      </c>
      <c r="H55" s="100">
        <v>29</v>
      </c>
      <c r="I55" s="101">
        <v>29</v>
      </c>
      <c r="J55" s="100">
        <v>29</v>
      </c>
      <c r="K55" s="101">
        <v>29</v>
      </c>
      <c r="L55" s="51" t="s">
        <v>10</v>
      </c>
      <c r="M55" s="52" t="s">
        <v>612</v>
      </c>
      <c r="N55" s="51" t="s">
        <v>24</v>
      </c>
      <c r="O55" s="52" t="s">
        <v>611</v>
      </c>
    </row>
    <row r="56" spans="1:15" ht="15.75" thickBot="1">
      <c r="A56" s="3" t="s">
        <v>57</v>
      </c>
      <c r="B56" s="100">
        <v>30</v>
      </c>
      <c r="C56" s="101">
        <v>30</v>
      </c>
      <c r="D56" s="100">
        <v>30</v>
      </c>
      <c r="E56" s="101">
        <v>30</v>
      </c>
      <c r="F56" s="100">
        <v>30</v>
      </c>
      <c r="G56" s="101">
        <v>30</v>
      </c>
      <c r="H56" s="100">
        <v>30</v>
      </c>
      <c r="I56" s="101">
        <v>30</v>
      </c>
      <c r="J56" s="100">
        <v>30</v>
      </c>
      <c r="K56" s="101">
        <v>30</v>
      </c>
      <c r="L56" s="51" t="s">
        <v>10</v>
      </c>
      <c r="M56" s="52" t="s">
        <v>610</v>
      </c>
      <c r="N56" s="51" t="s">
        <v>24</v>
      </c>
      <c r="O56" s="52" t="s">
        <v>611</v>
      </c>
    </row>
    <row r="57" spans="1:15" ht="15.75" thickBot="1">
      <c r="A57" s="3" t="s">
        <v>59</v>
      </c>
      <c r="B57" s="100">
        <v>1800</v>
      </c>
      <c r="C57" s="101">
        <v>1800</v>
      </c>
      <c r="D57" s="100">
        <v>1800</v>
      </c>
      <c r="E57" s="101">
        <v>1800</v>
      </c>
      <c r="F57" s="100">
        <v>0</v>
      </c>
      <c r="G57" s="101">
        <v>0</v>
      </c>
      <c r="H57" s="100">
        <v>0</v>
      </c>
      <c r="I57" s="101">
        <v>0</v>
      </c>
      <c r="J57" s="100">
        <v>0</v>
      </c>
      <c r="K57" s="101">
        <v>0</v>
      </c>
      <c r="L57" s="51" t="s">
        <v>10</v>
      </c>
      <c r="M57" s="52" t="s">
        <v>610</v>
      </c>
      <c r="N57" s="51" t="s">
        <v>24</v>
      </c>
      <c r="O57" s="52" t="s">
        <v>611</v>
      </c>
    </row>
    <row r="58" spans="1:15" ht="15.75" thickBot="1">
      <c r="A58" s="3" t="s">
        <v>68</v>
      </c>
      <c r="B58" s="100">
        <v>1300</v>
      </c>
      <c r="C58" s="101">
        <v>1300</v>
      </c>
      <c r="D58" s="100">
        <v>1300</v>
      </c>
      <c r="E58" s="101">
        <v>1300</v>
      </c>
      <c r="F58" s="100">
        <v>1300</v>
      </c>
      <c r="G58" s="101">
        <v>1300</v>
      </c>
      <c r="H58" s="100">
        <v>1300</v>
      </c>
      <c r="I58" s="101">
        <v>1300</v>
      </c>
      <c r="J58" s="100">
        <v>1300</v>
      </c>
      <c r="K58" s="101">
        <v>1300</v>
      </c>
      <c r="L58" s="51" t="s">
        <v>10</v>
      </c>
      <c r="M58" s="52" t="s">
        <v>610</v>
      </c>
      <c r="N58" s="51" t="s">
        <v>24</v>
      </c>
      <c r="O58" s="52" t="s">
        <v>611</v>
      </c>
    </row>
    <row r="59" spans="1:15" ht="15.75" thickBot="1">
      <c r="A59" s="3" t="s">
        <v>76</v>
      </c>
      <c r="B59" s="100">
        <v>240</v>
      </c>
      <c r="C59" s="101">
        <v>240</v>
      </c>
      <c r="D59" s="100">
        <v>240</v>
      </c>
      <c r="E59" s="101">
        <v>240</v>
      </c>
      <c r="F59" s="100">
        <v>240</v>
      </c>
      <c r="G59" s="101">
        <v>240</v>
      </c>
      <c r="H59" s="100">
        <v>240</v>
      </c>
      <c r="I59" s="101">
        <v>240</v>
      </c>
      <c r="J59" s="100">
        <v>240</v>
      </c>
      <c r="K59" s="101">
        <v>240</v>
      </c>
      <c r="L59" s="51" t="s">
        <v>10</v>
      </c>
      <c r="M59" s="52" t="s">
        <v>612</v>
      </c>
      <c r="N59" s="51" t="s">
        <v>24</v>
      </c>
      <c r="O59" s="52" t="s">
        <v>611</v>
      </c>
    </row>
    <row r="60" spans="1:15" ht="15.75" thickBot="1">
      <c r="A60" s="3" t="s">
        <v>614</v>
      </c>
      <c r="B60" s="100">
        <v>0</v>
      </c>
      <c r="C60" s="101">
        <v>0</v>
      </c>
      <c r="D60" s="100">
        <v>0</v>
      </c>
      <c r="E60" s="101">
        <v>0</v>
      </c>
      <c r="F60" s="100">
        <v>0</v>
      </c>
      <c r="G60" s="101">
        <v>0</v>
      </c>
      <c r="H60" s="100">
        <v>0</v>
      </c>
      <c r="I60" s="101">
        <v>0</v>
      </c>
      <c r="J60" s="100">
        <v>0</v>
      </c>
      <c r="K60" s="101">
        <v>0</v>
      </c>
      <c r="L60" s="51" t="s">
        <v>10</v>
      </c>
      <c r="M60" s="52" t="s">
        <v>612</v>
      </c>
      <c r="N60" s="51" t="s">
        <v>24</v>
      </c>
      <c r="O60" s="52" t="s">
        <v>611</v>
      </c>
    </row>
    <row r="61" spans="1:15" ht="15.75" thickBot="1">
      <c r="A61" s="3" t="s">
        <v>81</v>
      </c>
      <c r="B61" s="100">
        <v>108.999</v>
      </c>
      <c r="C61" s="101">
        <v>108.999</v>
      </c>
      <c r="D61" s="100">
        <v>108.999</v>
      </c>
      <c r="E61" s="101">
        <v>108.999</v>
      </c>
      <c r="F61" s="100">
        <v>108.999</v>
      </c>
      <c r="G61" s="101">
        <v>108.999</v>
      </c>
      <c r="H61" s="100">
        <v>108.999</v>
      </c>
      <c r="I61" s="101">
        <v>108.999</v>
      </c>
      <c r="J61" s="100">
        <v>108.999</v>
      </c>
      <c r="K61" s="101">
        <v>108.999</v>
      </c>
      <c r="L61" s="51" t="s">
        <v>10</v>
      </c>
      <c r="M61" s="52" t="s">
        <v>610</v>
      </c>
      <c r="N61" s="51" t="s">
        <v>24</v>
      </c>
      <c r="O61" s="52" t="s">
        <v>611</v>
      </c>
    </row>
    <row r="62" spans="1:15" ht="15.75" thickBot="1">
      <c r="A62" s="3" t="s">
        <v>84</v>
      </c>
      <c r="B62" s="100">
        <v>378</v>
      </c>
      <c r="C62" s="101">
        <v>378</v>
      </c>
      <c r="D62" s="100">
        <v>378</v>
      </c>
      <c r="E62" s="101">
        <v>378</v>
      </c>
      <c r="F62" s="100">
        <v>378</v>
      </c>
      <c r="G62" s="101">
        <v>378</v>
      </c>
      <c r="H62" s="100">
        <v>378</v>
      </c>
      <c r="I62" s="101">
        <v>378</v>
      </c>
      <c r="J62" s="100">
        <v>378</v>
      </c>
      <c r="K62" s="101">
        <v>378</v>
      </c>
      <c r="L62" s="51" t="s">
        <v>10</v>
      </c>
      <c r="M62" s="52" t="s">
        <v>610</v>
      </c>
      <c r="N62" s="51" t="s">
        <v>24</v>
      </c>
      <c r="O62" s="52" t="s">
        <v>611</v>
      </c>
    </row>
    <row r="63" spans="1:15" ht="15.75" thickBot="1">
      <c r="A63" s="3" t="s">
        <v>89</v>
      </c>
      <c r="B63" s="100">
        <v>1800</v>
      </c>
      <c r="C63" s="101">
        <v>1800</v>
      </c>
      <c r="D63" s="100">
        <v>1800</v>
      </c>
      <c r="E63" s="101">
        <v>1800</v>
      </c>
      <c r="F63" s="100">
        <v>1800</v>
      </c>
      <c r="G63" s="101">
        <v>1800</v>
      </c>
      <c r="H63" s="100">
        <v>1800</v>
      </c>
      <c r="I63" s="101">
        <v>1800</v>
      </c>
      <c r="J63" s="100">
        <v>1800</v>
      </c>
      <c r="K63" s="101">
        <v>1800</v>
      </c>
      <c r="L63" s="51" t="s">
        <v>10</v>
      </c>
      <c r="M63" s="52" t="s">
        <v>612</v>
      </c>
      <c r="N63" s="51" t="s">
        <v>24</v>
      </c>
      <c r="O63" s="52" t="s">
        <v>611</v>
      </c>
    </row>
    <row r="64" spans="1:15" ht="15.75" thickBot="1">
      <c r="A64" s="3" t="s">
        <v>91</v>
      </c>
      <c r="B64" s="100">
        <v>616</v>
      </c>
      <c r="C64" s="101">
        <v>544</v>
      </c>
      <c r="D64" s="100">
        <v>616</v>
      </c>
      <c r="E64" s="101">
        <v>616</v>
      </c>
      <c r="F64" s="100">
        <v>616</v>
      </c>
      <c r="G64" s="101">
        <v>616</v>
      </c>
      <c r="H64" s="100">
        <v>616</v>
      </c>
      <c r="I64" s="101">
        <v>616</v>
      </c>
      <c r="J64" s="100">
        <v>616</v>
      </c>
      <c r="K64" s="101">
        <v>616</v>
      </c>
      <c r="L64" s="51" t="s">
        <v>10</v>
      </c>
      <c r="M64" s="52" t="s">
        <v>612</v>
      </c>
      <c r="N64" s="51" t="s">
        <v>24</v>
      </c>
      <c r="O64" s="52" t="s">
        <v>611</v>
      </c>
    </row>
    <row r="65" spans="1:15" ht="15.75" thickBot="1">
      <c r="A65" s="3" t="s">
        <v>93</v>
      </c>
      <c r="B65" s="100">
        <v>640</v>
      </c>
      <c r="C65" s="101">
        <v>640</v>
      </c>
      <c r="D65" s="100">
        <v>640</v>
      </c>
      <c r="E65" s="101">
        <v>640</v>
      </c>
      <c r="F65" s="100">
        <v>640</v>
      </c>
      <c r="G65" s="101">
        <v>640</v>
      </c>
      <c r="H65" s="100">
        <v>640</v>
      </c>
      <c r="I65" s="101">
        <v>640</v>
      </c>
      <c r="J65" s="100">
        <v>640</v>
      </c>
      <c r="K65" s="101">
        <v>640</v>
      </c>
      <c r="L65" s="51" t="s">
        <v>10</v>
      </c>
      <c r="M65" s="52" t="s">
        <v>610</v>
      </c>
      <c r="N65" s="51" t="s">
        <v>24</v>
      </c>
      <c r="O65" s="52" t="s">
        <v>611</v>
      </c>
    </row>
    <row r="66" spans="1:15" ht="15.75" thickBot="1">
      <c r="A66" s="3" t="s">
        <v>96</v>
      </c>
      <c r="B66" s="100">
        <v>1320</v>
      </c>
      <c r="C66" s="101">
        <v>1320</v>
      </c>
      <c r="D66" s="100">
        <v>1320</v>
      </c>
      <c r="E66" s="101">
        <v>1320</v>
      </c>
      <c r="F66" s="100">
        <v>1320</v>
      </c>
      <c r="G66" s="101">
        <v>1320</v>
      </c>
      <c r="H66" s="100">
        <v>1320</v>
      </c>
      <c r="I66" s="101">
        <v>1320</v>
      </c>
      <c r="J66" s="100">
        <v>1320</v>
      </c>
      <c r="K66" s="101">
        <v>1320</v>
      </c>
      <c r="L66" s="51" t="s">
        <v>10</v>
      </c>
      <c r="M66" s="52" t="s">
        <v>610</v>
      </c>
      <c r="N66" s="51" t="s">
        <v>24</v>
      </c>
      <c r="O66" s="52" t="s">
        <v>611</v>
      </c>
    </row>
    <row r="67" spans="1:15" ht="15.75" thickBot="1"/>
    <row r="68" spans="1:15" ht="15.75" thickBot="1">
      <c r="A68" s="3" t="s">
        <v>620</v>
      </c>
      <c r="B68" s="100">
        <f>SUMIF(sumcapssstable[FuelType],"Wind",sumcapssstable[2018-19]) * 0.067</f>
        <v>82.602959999999996</v>
      </c>
      <c r="C68" s="101">
        <f>SUMIF(sumcapssstable[FuelType],"Wind",sumcapssstable[2019-20])* 0.067</f>
        <v>91.647959999999998</v>
      </c>
      <c r="D68" s="100">
        <f>SUMIF(sumcapssstable[FuelType],"Wind",sumcapssstable[2020-21])* 0.067</f>
        <v>91.647959999999998</v>
      </c>
      <c r="E68" s="101">
        <f>SUMIF(sumcapssstable[FuelType],"Wind",sumcapssstable[2021-22])* 0.067</f>
        <v>91.647959999999998</v>
      </c>
      <c r="F68" s="100">
        <f>SUMIF(sumcapssstable[FuelType],"Wind",sumcapssstable[2022-23])* 0.067</f>
        <v>91.647959999999998</v>
      </c>
      <c r="G68" s="101">
        <f>SUMIF(sumcapssstable[FuelType],"Wind",sumcapssstable[2023-24])* 0.067</f>
        <v>91.647959999999998</v>
      </c>
      <c r="H68" s="100">
        <f>SUMIF(sumcapssstable[FuelType],"Wind",sumcapssstable[2024-25])* 0.067</f>
        <v>91.647959999999998</v>
      </c>
      <c r="I68" s="101">
        <f>SUMIF(sumcapssstable[FuelType],"Wind",sumcapssstable[2025-26])* 0.067</f>
        <v>91.647959999999998</v>
      </c>
      <c r="J68" s="100">
        <f>SUMIF(sumcapssstable[FuelType],"Wind",sumcapssstable[2026-27])* 0.067</f>
        <v>91.647959999999998</v>
      </c>
      <c r="K68" s="101">
        <f>SUMIF(sumcapssstable[FuelType],"Wind",sumcapssstable[2027-28])* 0.067</f>
        <v>91.647959999999998</v>
      </c>
    </row>
    <row r="69" spans="1:15" ht="15.75" thickBot="1">
      <c r="A69" s="3" t="s">
        <v>621</v>
      </c>
      <c r="B69" s="51" t="s">
        <v>623</v>
      </c>
      <c r="C69" s="52" t="s">
        <v>623</v>
      </c>
      <c r="D69" s="51" t="s">
        <v>623</v>
      </c>
      <c r="E69" s="52" t="s">
        <v>623</v>
      </c>
      <c r="F69" s="51" t="s">
        <v>623</v>
      </c>
      <c r="G69" s="52" t="s">
        <v>623</v>
      </c>
      <c r="H69" s="51" t="s">
        <v>623</v>
      </c>
      <c r="I69" s="52" t="s">
        <v>623</v>
      </c>
      <c r="J69" s="51" t="s">
        <v>623</v>
      </c>
      <c r="K69" s="52" t="s">
        <v>623</v>
      </c>
    </row>
    <row r="70" spans="1:15" ht="15.75" thickBot="1">
      <c r="A70" s="53" t="s">
        <v>102</v>
      </c>
      <c r="B70" s="99">
        <f>SUM(sumcapsstable[2018-19])+B68</f>
        <v>14346.60196</v>
      </c>
      <c r="C70" s="102">
        <f>SUM(sumcapsstable[2019-20])+C68</f>
        <v>14342.64696</v>
      </c>
      <c r="D70" s="99">
        <f>SUM(sumcapsstable[2020-21])+D68</f>
        <v>14439.64696</v>
      </c>
      <c r="E70" s="102">
        <f>SUM(sumcapsstable[2021-22])+E68</f>
        <v>14464.64696</v>
      </c>
      <c r="F70" s="99">
        <f>SUM(sumcapsstable[2022-23])+F68</f>
        <v>12689.64696</v>
      </c>
      <c r="G70" s="102">
        <f>SUM(sumcapsstable[2023-24])+G68</f>
        <v>12689.64696</v>
      </c>
      <c r="H70" s="99">
        <f>SUM(sumcapsstable[2024-25])+H68</f>
        <v>12689.64696</v>
      </c>
      <c r="I70" s="102">
        <f>SUM(sumcapsstable[2025-26])+I68</f>
        <v>12689.64696</v>
      </c>
      <c r="J70" s="99">
        <f>SUM(sumcapsstable[2026-27])+J68</f>
        <v>12689.64696</v>
      </c>
      <c r="K70" s="102">
        <f>SUM(sumcapsstable[2027-28])+K68</f>
        <v>12689.64696</v>
      </c>
    </row>
    <row r="71" spans="1:15" ht="15.75" thickBot="1"/>
    <row r="72" spans="1:15" ht="20.25" thickBot="1">
      <c r="A72" s="49" t="s">
        <v>622</v>
      </c>
    </row>
    <row r="73" spans="1:15" ht="15.75" thickBot="1">
      <c r="A73" s="138" t="s">
        <v>1</v>
      </c>
      <c r="B73" s="138" t="s">
        <v>761</v>
      </c>
      <c r="C73" s="138" t="s">
        <v>762</v>
      </c>
      <c r="D73" s="138" t="s">
        <v>763</v>
      </c>
      <c r="E73" s="138" t="s">
        <v>764</v>
      </c>
      <c r="F73" s="138" t="s">
        <v>765</v>
      </c>
      <c r="G73" s="138" t="s">
        <v>766</v>
      </c>
      <c r="H73" s="138" t="s">
        <v>767</v>
      </c>
      <c r="I73" s="138" t="s">
        <v>768</v>
      </c>
      <c r="J73" s="138" t="s">
        <v>769</v>
      </c>
      <c r="K73" s="138" t="s">
        <v>770</v>
      </c>
      <c r="L73" s="138" t="s">
        <v>5</v>
      </c>
      <c r="M73" s="68" t="s">
        <v>608</v>
      </c>
      <c r="N73" s="68" t="s">
        <v>7</v>
      </c>
      <c r="O73" s="68" t="s">
        <v>609</v>
      </c>
    </row>
    <row r="74" spans="1:15" ht="15.75" thickBot="1">
      <c r="A74" s="19" t="s">
        <v>105</v>
      </c>
      <c r="B74" s="93">
        <v>0</v>
      </c>
      <c r="C74" s="94">
        <v>87</v>
      </c>
      <c r="D74" s="93">
        <v>87</v>
      </c>
      <c r="E74" s="94">
        <v>87</v>
      </c>
      <c r="F74" s="93">
        <v>87</v>
      </c>
      <c r="G74" s="94">
        <v>87</v>
      </c>
      <c r="H74" s="93">
        <v>87</v>
      </c>
      <c r="I74" s="94">
        <v>87</v>
      </c>
      <c r="J74" s="93">
        <v>87</v>
      </c>
      <c r="K74" s="94">
        <v>87</v>
      </c>
      <c r="L74" s="73" t="s">
        <v>14</v>
      </c>
      <c r="M74" s="25" t="s">
        <v>37</v>
      </c>
      <c r="N74" s="73" t="s">
        <v>24</v>
      </c>
      <c r="O74" s="25" t="s">
        <v>611</v>
      </c>
    </row>
    <row r="75" spans="1:15" ht="15.75" thickBot="1">
      <c r="A75" s="18" t="s">
        <v>28</v>
      </c>
      <c r="B75" s="95">
        <v>104.09</v>
      </c>
      <c r="C75" s="96">
        <v>104.09</v>
      </c>
      <c r="D75" s="95">
        <v>104.09</v>
      </c>
      <c r="E75" s="96">
        <v>104.09</v>
      </c>
      <c r="F75" s="95">
        <v>104.09</v>
      </c>
      <c r="G75" s="96">
        <v>104.09</v>
      </c>
      <c r="H75" s="95">
        <v>104.09</v>
      </c>
      <c r="I75" s="96">
        <v>104.09</v>
      </c>
      <c r="J75" s="95">
        <v>104.09</v>
      </c>
      <c r="K75" s="96">
        <v>104.09</v>
      </c>
      <c r="L75" s="72" t="s">
        <v>14</v>
      </c>
      <c r="M75" s="24" t="s">
        <v>13</v>
      </c>
      <c r="N75" s="72" t="s">
        <v>24</v>
      </c>
      <c r="O75" s="24" t="s">
        <v>611</v>
      </c>
    </row>
    <row r="76" spans="1:15" ht="15.75" thickBot="1">
      <c r="A76" s="18" t="s">
        <v>107</v>
      </c>
      <c r="B76" s="95">
        <v>113.19</v>
      </c>
      <c r="C76" s="96">
        <v>113.19</v>
      </c>
      <c r="D76" s="95">
        <v>113.19</v>
      </c>
      <c r="E76" s="96">
        <v>113.19</v>
      </c>
      <c r="F76" s="95">
        <v>113.19</v>
      </c>
      <c r="G76" s="96">
        <v>113.19</v>
      </c>
      <c r="H76" s="95">
        <v>113.19</v>
      </c>
      <c r="I76" s="96">
        <v>113.19</v>
      </c>
      <c r="J76" s="95">
        <v>113.19</v>
      </c>
      <c r="K76" s="96">
        <v>113.19</v>
      </c>
      <c r="L76" s="72" t="s">
        <v>14</v>
      </c>
      <c r="M76" s="24" t="s">
        <v>13</v>
      </c>
      <c r="N76" s="72" t="s">
        <v>24</v>
      </c>
      <c r="O76" s="24" t="s">
        <v>611</v>
      </c>
    </row>
    <row r="77" spans="1:15" ht="15.75" thickBot="1">
      <c r="A77" s="18" t="s">
        <v>33</v>
      </c>
      <c r="B77" s="95">
        <v>53</v>
      </c>
      <c r="C77" s="96">
        <v>53</v>
      </c>
      <c r="D77" s="95">
        <v>53</v>
      </c>
      <c r="E77" s="96">
        <v>53</v>
      </c>
      <c r="F77" s="95">
        <v>53</v>
      </c>
      <c r="G77" s="96">
        <v>53</v>
      </c>
      <c r="H77" s="95">
        <v>53</v>
      </c>
      <c r="I77" s="96">
        <v>53</v>
      </c>
      <c r="J77" s="95">
        <v>53</v>
      </c>
      <c r="K77" s="96">
        <v>53</v>
      </c>
      <c r="L77" s="72" t="s">
        <v>14</v>
      </c>
      <c r="M77" s="24" t="s">
        <v>37</v>
      </c>
      <c r="N77" s="72" t="s">
        <v>24</v>
      </c>
      <c r="O77" s="24" t="s">
        <v>611</v>
      </c>
    </row>
    <row r="78" spans="1:15" ht="15.75" thickBot="1">
      <c r="A78" s="18" t="s">
        <v>109</v>
      </c>
      <c r="B78" s="95">
        <v>150</v>
      </c>
      <c r="C78" s="96">
        <v>150</v>
      </c>
      <c r="D78" s="95">
        <v>150</v>
      </c>
      <c r="E78" s="96">
        <v>150</v>
      </c>
      <c r="F78" s="95">
        <v>150</v>
      </c>
      <c r="G78" s="96">
        <v>150</v>
      </c>
      <c r="H78" s="95">
        <v>150</v>
      </c>
      <c r="I78" s="96">
        <v>150</v>
      </c>
      <c r="J78" s="95">
        <v>150</v>
      </c>
      <c r="K78" s="96">
        <v>150</v>
      </c>
      <c r="L78" s="72" t="s">
        <v>14</v>
      </c>
      <c r="M78" s="24" t="s">
        <v>37</v>
      </c>
      <c r="N78" s="72" t="s">
        <v>24</v>
      </c>
      <c r="O78" s="24" t="s">
        <v>611</v>
      </c>
    </row>
    <row r="79" spans="1:15" ht="15.75" thickBot="1">
      <c r="A79" s="18" t="s">
        <v>111</v>
      </c>
      <c r="B79" s="95">
        <v>91</v>
      </c>
      <c r="C79" s="96">
        <v>91</v>
      </c>
      <c r="D79" s="95">
        <v>91</v>
      </c>
      <c r="E79" s="96">
        <v>91</v>
      </c>
      <c r="F79" s="95">
        <v>91</v>
      </c>
      <c r="G79" s="96">
        <v>91</v>
      </c>
      <c r="H79" s="95">
        <v>91</v>
      </c>
      <c r="I79" s="96">
        <v>91</v>
      </c>
      <c r="J79" s="95">
        <v>91</v>
      </c>
      <c r="K79" s="96">
        <v>91</v>
      </c>
      <c r="L79" s="72" t="s">
        <v>14</v>
      </c>
      <c r="M79" s="24" t="s">
        <v>13</v>
      </c>
      <c r="N79" s="72" t="s">
        <v>24</v>
      </c>
      <c r="O79" s="24" t="s">
        <v>611</v>
      </c>
    </row>
    <row r="80" spans="1:15" ht="15.75" thickBot="1">
      <c r="A80" s="18" t="s">
        <v>316</v>
      </c>
      <c r="B80" s="95">
        <v>0</v>
      </c>
      <c r="C80" s="96">
        <v>135</v>
      </c>
      <c r="D80" s="95">
        <v>135</v>
      </c>
      <c r="E80" s="96">
        <v>135</v>
      </c>
      <c r="F80" s="95">
        <v>135</v>
      </c>
      <c r="G80" s="96">
        <v>135</v>
      </c>
      <c r="H80" s="95">
        <v>135</v>
      </c>
      <c r="I80" s="96">
        <v>135</v>
      </c>
      <c r="J80" s="95">
        <v>135</v>
      </c>
      <c r="K80" s="96">
        <v>135</v>
      </c>
      <c r="L80" s="72" t="s">
        <v>14</v>
      </c>
      <c r="M80" s="24" t="s">
        <v>13</v>
      </c>
      <c r="N80" s="72" t="s">
        <v>24</v>
      </c>
      <c r="O80" s="24" t="s">
        <v>611</v>
      </c>
    </row>
    <row r="81" spans="1:15" ht="15.75" thickBot="1">
      <c r="A81" s="18" t="s">
        <v>45</v>
      </c>
      <c r="B81" s="95">
        <v>10</v>
      </c>
      <c r="C81" s="96">
        <v>10</v>
      </c>
      <c r="D81" s="95">
        <v>10</v>
      </c>
      <c r="E81" s="96">
        <v>10</v>
      </c>
      <c r="F81" s="95">
        <v>10</v>
      </c>
      <c r="G81" s="96">
        <v>10</v>
      </c>
      <c r="H81" s="95">
        <v>10</v>
      </c>
      <c r="I81" s="96">
        <v>10</v>
      </c>
      <c r="J81" s="95">
        <v>10</v>
      </c>
      <c r="K81" s="96">
        <v>10</v>
      </c>
      <c r="L81" s="72" t="s">
        <v>14</v>
      </c>
      <c r="M81" s="24" t="s">
        <v>37</v>
      </c>
      <c r="N81" s="72" t="s">
        <v>24</v>
      </c>
      <c r="O81" s="24" t="s">
        <v>611</v>
      </c>
    </row>
    <row r="82" spans="1:15" ht="15.75" thickBot="1">
      <c r="A82" s="18" t="s">
        <v>613</v>
      </c>
      <c r="B82" s="95">
        <v>165.5</v>
      </c>
      <c r="C82" s="96">
        <v>165.5</v>
      </c>
      <c r="D82" s="95">
        <v>165.5</v>
      </c>
      <c r="E82" s="96">
        <v>165.5</v>
      </c>
      <c r="F82" s="95">
        <v>165.5</v>
      </c>
      <c r="G82" s="96">
        <v>165.5</v>
      </c>
      <c r="H82" s="95">
        <v>165.5</v>
      </c>
      <c r="I82" s="96">
        <v>165.5</v>
      </c>
      <c r="J82" s="95">
        <v>165.5</v>
      </c>
      <c r="K82" s="96">
        <v>165.5</v>
      </c>
      <c r="L82" s="72" t="s">
        <v>14</v>
      </c>
      <c r="M82" s="24" t="s">
        <v>13</v>
      </c>
      <c r="N82" s="72" t="s">
        <v>24</v>
      </c>
      <c r="O82" s="24" t="s">
        <v>611</v>
      </c>
    </row>
    <row r="83" spans="1:15" ht="15.75" thickBot="1">
      <c r="A83" s="18" t="s">
        <v>756</v>
      </c>
      <c r="B83" s="95">
        <v>46.5</v>
      </c>
      <c r="C83" s="96">
        <v>46.5</v>
      </c>
      <c r="D83" s="95">
        <v>46.5</v>
      </c>
      <c r="E83" s="96">
        <v>46.5</v>
      </c>
      <c r="F83" s="95">
        <v>46.5</v>
      </c>
      <c r="G83" s="96">
        <v>46.5</v>
      </c>
      <c r="H83" s="95">
        <v>46.5</v>
      </c>
      <c r="I83" s="96">
        <v>46.5</v>
      </c>
      <c r="J83" s="95">
        <v>46.5</v>
      </c>
      <c r="K83" s="96">
        <v>46.5</v>
      </c>
      <c r="L83" s="72" t="s">
        <v>14</v>
      </c>
      <c r="M83" s="24" t="s">
        <v>13</v>
      </c>
      <c r="N83" s="72" t="s">
        <v>24</v>
      </c>
      <c r="O83" s="24" t="s">
        <v>611</v>
      </c>
    </row>
    <row r="84" spans="1:15" ht="15.75" thickBot="1">
      <c r="A84" s="18" t="s">
        <v>62</v>
      </c>
      <c r="B84" s="95">
        <v>46.7</v>
      </c>
      <c r="C84" s="96">
        <v>46.7</v>
      </c>
      <c r="D84" s="95">
        <v>46.7</v>
      </c>
      <c r="E84" s="96">
        <v>46.7</v>
      </c>
      <c r="F84" s="95">
        <v>46.7</v>
      </c>
      <c r="G84" s="96">
        <v>46.7</v>
      </c>
      <c r="H84" s="95">
        <v>46.7</v>
      </c>
      <c r="I84" s="96">
        <v>46.7</v>
      </c>
      <c r="J84" s="95">
        <v>46.7</v>
      </c>
      <c r="K84" s="96">
        <v>46.7</v>
      </c>
      <c r="L84" s="72" t="s">
        <v>14</v>
      </c>
      <c r="M84" s="24" t="s">
        <v>37</v>
      </c>
      <c r="N84" s="72" t="s">
        <v>24</v>
      </c>
      <c r="O84" s="24" t="s">
        <v>611</v>
      </c>
    </row>
    <row r="85" spans="1:15" ht="15.75" thickBot="1">
      <c r="A85" s="18" t="s">
        <v>65</v>
      </c>
      <c r="B85" s="95">
        <v>55.6</v>
      </c>
      <c r="C85" s="96">
        <v>55.2</v>
      </c>
      <c r="D85" s="95">
        <v>54.8</v>
      </c>
      <c r="E85" s="96">
        <v>54.4</v>
      </c>
      <c r="F85" s="95">
        <v>54.1</v>
      </c>
      <c r="G85" s="96">
        <v>53.7</v>
      </c>
      <c r="H85" s="95">
        <v>53.3</v>
      </c>
      <c r="I85" s="96">
        <v>52.9</v>
      </c>
      <c r="J85" s="95">
        <v>52.6</v>
      </c>
      <c r="K85" s="96">
        <v>52.2</v>
      </c>
      <c r="L85" s="72" t="s">
        <v>14</v>
      </c>
      <c r="M85" s="24" t="s">
        <v>37</v>
      </c>
      <c r="N85" s="72" t="s">
        <v>24</v>
      </c>
      <c r="O85" s="24" t="s">
        <v>611</v>
      </c>
    </row>
    <row r="86" spans="1:15" ht="15.75" thickBot="1">
      <c r="A86" s="18" t="s">
        <v>757</v>
      </c>
      <c r="B86" s="95">
        <v>102</v>
      </c>
      <c r="C86" s="96">
        <v>102</v>
      </c>
      <c r="D86" s="95">
        <v>102</v>
      </c>
      <c r="E86" s="96">
        <v>102</v>
      </c>
      <c r="F86" s="95">
        <v>102</v>
      </c>
      <c r="G86" s="96">
        <v>102</v>
      </c>
      <c r="H86" s="95">
        <v>102</v>
      </c>
      <c r="I86" s="96">
        <v>102</v>
      </c>
      <c r="J86" s="95">
        <v>102</v>
      </c>
      <c r="K86" s="96">
        <v>102</v>
      </c>
      <c r="L86" s="72" t="s">
        <v>14</v>
      </c>
      <c r="M86" s="24" t="s">
        <v>37</v>
      </c>
      <c r="N86" s="72" t="s">
        <v>24</v>
      </c>
      <c r="O86" s="24" t="s">
        <v>611</v>
      </c>
    </row>
    <row r="87" spans="1:15" ht="15.75" thickBot="1">
      <c r="A87" s="18" t="s">
        <v>71</v>
      </c>
      <c r="B87" s="95">
        <v>50.5</v>
      </c>
      <c r="C87" s="96">
        <v>55</v>
      </c>
      <c r="D87" s="95">
        <v>55</v>
      </c>
      <c r="E87" s="96">
        <v>55</v>
      </c>
      <c r="F87" s="95">
        <v>55</v>
      </c>
      <c r="G87" s="96">
        <v>55</v>
      </c>
      <c r="H87" s="95">
        <v>55</v>
      </c>
      <c r="I87" s="96">
        <v>55</v>
      </c>
      <c r="J87" s="95">
        <v>55</v>
      </c>
      <c r="K87" s="96">
        <v>55</v>
      </c>
      <c r="L87" s="72" t="s">
        <v>14</v>
      </c>
      <c r="M87" s="24" t="s">
        <v>37</v>
      </c>
      <c r="N87" s="72" t="s">
        <v>24</v>
      </c>
      <c r="O87" s="24" t="s">
        <v>611</v>
      </c>
    </row>
    <row r="88" spans="1:15" ht="15.75" thickBot="1">
      <c r="A88" s="18" t="s">
        <v>73</v>
      </c>
      <c r="B88" s="95">
        <v>187</v>
      </c>
      <c r="C88" s="96">
        <v>187</v>
      </c>
      <c r="D88" s="95">
        <v>187</v>
      </c>
      <c r="E88" s="96">
        <v>187</v>
      </c>
      <c r="F88" s="95">
        <v>187</v>
      </c>
      <c r="G88" s="96">
        <v>187</v>
      </c>
      <c r="H88" s="95">
        <v>187</v>
      </c>
      <c r="I88" s="96">
        <v>187</v>
      </c>
      <c r="J88" s="95">
        <v>187</v>
      </c>
      <c r="K88" s="96">
        <v>187</v>
      </c>
      <c r="L88" s="72" t="s">
        <v>14</v>
      </c>
      <c r="M88" s="24" t="s">
        <v>13</v>
      </c>
      <c r="N88" s="72" t="s">
        <v>24</v>
      </c>
      <c r="O88" s="24" t="s">
        <v>611</v>
      </c>
    </row>
    <row r="89" spans="1:15" ht="15.75" thickBot="1">
      <c r="A89" s="18" t="s">
        <v>78</v>
      </c>
      <c r="B89" s="95">
        <v>198</v>
      </c>
      <c r="C89" s="96">
        <v>198</v>
      </c>
      <c r="D89" s="95">
        <v>198</v>
      </c>
      <c r="E89" s="96">
        <v>198</v>
      </c>
      <c r="F89" s="95">
        <v>198</v>
      </c>
      <c r="G89" s="96">
        <v>198</v>
      </c>
      <c r="H89" s="95">
        <v>198</v>
      </c>
      <c r="I89" s="96">
        <v>198</v>
      </c>
      <c r="J89" s="95">
        <v>198</v>
      </c>
      <c r="K89" s="96">
        <v>198</v>
      </c>
      <c r="L89" s="72" t="s">
        <v>14</v>
      </c>
      <c r="M89" s="24" t="s">
        <v>13</v>
      </c>
      <c r="N89" s="72" t="s">
        <v>24</v>
      </c>
      <c r="O89" s="24" t="s">
        <v>611</v>
      </c>
    </row>
    <row r="90" spans="1:15" ht="15.75" thickBot="1">
      <c r="A90" s="18" t="s">
        <v>758</v>
      </c>
      <c r="B90" s="95">
        <v>106.8</v>
      </c>
      <c r="C90" s="96">
        <v>106.8</v>
      </c>
      <c r="D90" s="95">
        <v>106.8</v>
      </c>
      <c r="E90" s="96">
        <v>106.8</v>
      </c>
      <c r="F90" s="95">
        <v>106.8</v>
      </c>
      <c r="G90" s="96">
        <v>106.8</v>
      </c>
      <c r="H90" s="95">
        <v>106.8</v>
      </c>
      <c r="I90" s="96">
        <v>106.8</v>
      </c>
      <c r="J90" s="95">
        <v>106.8</v>
      </c>
      <c r="K90" s="96">
        <v>106.8</v>
      </c>
      <c r="L90" s="72" t="s">
        <v>14</v>
      </c>
      <c r="M90" s="24" t="s">
        <v>13</v>
      </c>
      <c r="N90" s="72" t="s">
        <v>24</v>
      </c>
      <c r="O90" s="24" t="s">
        <v>611</v>
      </c>
    </row>
    <row r="91" spans="1:15" ht="15.75" thickBot="1">
      <c r="A91" s="18" t="s">
        <v>664</v>
      </c>
      <c r="B91" s="95">
        <v>0</v>
      </c>
      <c r="C91" s="96">
        <v>0</v>
      </c>
      <c r="D91" s="95">
        <v>0</v>
      </c>
      <c r="E91" s="96">
        <v>0</v>
      </c>
      <c r="F91" s="95">
        <v>0</v>
      </c>
      <c r="G91" s="96">
        <v>0</v>
      </c>
      <c r="H91" s="95">
        <v>0</v>
      </c>
      <c r="I91" s="96">
        <v>0</v>
      </c>
      <c r="J91" s="95">
        <v>0</v>
      </c>
      <c r="K91" s="96">
        <v>0</v>
      </c>
      <c r="L91" s="72" t="s">
        <v>14</v>
      </c>
      <c r="M91" s="24" t="s">
        <v>37</v>
      </c>
      <c r="N91" s="72" t="s">
        <v>24</v>
      </c>
      <c r="O91" s="24" t="s">
        <v>611</v>
      </c>
    </row>
    <row r="92" spans="1:15" ht="15.75" thickBot="1">
      <c r="A92" s="18" t="s">
        <v>665</v>
      </c>
      <c r="B92" s="95">
        <v>172.5</v>
      </c>
      <c r="C92" s="96">
        <v>172.5</v>
      </c>
      <c r="D92" s="95">
        <v>172.5</v>
      </c>
      <c r="E92" s="96">
        <v>172.5</v>
      </c>
      <c r="F92" s="95">
        <v>172.5</v>
      </c>
      <c r="G92" s="96">
        <v>172.5</v>
      </c>
      <c r="H92" s="95">
        <v>172.5</v>
      </c>
      <c r="I92" s="96">
        <v>172.5</v>
      </c>
      <c r="J92" s="95">
        <v>172.5</v>
      </c>
      <c r="K92" s="96">
        <v>172.5</v>
      </c>
      <c r="L92" s="72" t="s">
        <v>14</v>
      </c>
      <c r="M92" s="24" t="s">
        <v>13</v>
      </c>
      <c r="N92" s="72" t="s">
        <v>24</v>
      </c>
      <c r="O92" s="24" t="s">
        <v>611</v>
      </c>
    </row>
    <row r="93" spans="1:15">
      <c r="A93" s="20" t="s">
        <v>99</v>
      </c>
      <c r="B93" s="97">
        <v>48.3</v>
      </c>
      <c r="C93" s="98">
        <v>48.3</v>
      </c>
      <c r="D93" s="97">
        <v>48.3</v>
      </c>
      <c r="E93" s="98">
        <v>48.3</v>
      </c>
      <c r="F93" s="97">
        <v>48.3</v>
      </c>
      <c r="G93" s="98">
        <v>48.3</v>
      </c>
      <c r="H93" s="97">
        <v>48.3</v>
      </c>
      <c r="I93" s="98">
        <v>48.3</v>
      </c>
      <c r="J93" s="97">
        <v>48.3</v>
      </c>
      <c r="K93" s="98">
        <v>48.3</v>
      </c>
      <c r="L93" s="74" t="s">
        <v>14</v>
      </c>
      <c r="M93" s="26" t="s">
        <v>13</v>
      </c>
      <c r="N93" s="74" t="s">
        <v>24</v>
      </c>
      <c r="O93" s="26" t="s">
        <v>611</v>
      </c>
    </row>
    <row r="94" spans="1:15" ht="15.75" thickBot="1"/>
    <row r="95" spans="1:15" ht="15.75" thickBot="1">
      <c r="A95" s="53" t="s">
        <v>641</v>
      </c>
      <c r="B95" s="99">
        <f>SUMIF(sumcapssstable[FuelType],"Wind",sumcapssstable[2018-19])</f>
        <v>1232.8799999999999</v>
      </c>
      <c r="C95" s="102">
        <f>SUMIF(sumcapssstable[FuelType],"Wind",sumcapssstable[2019-20])</f>
        <v>1367.8799999999999</v>
      </c>
      <c r="D95" s="99">
        <f>SUMIF(sumcapssstable[FuelType],"Wind",sumcapssstable[2020-21])</f>
        <v>1367.8799999999999</v>
      </c>
      <c r="E95" s="102">
        <f>SUMIF(sumcapssstable[FuelType],"Wind",sumcapssstable[2021-22])</f>
        <v>1367.8799999999999</v>
      </c>
      <c r="F95" s="99">
        <f>SUMIF(sumcapssstable[FuelType],"Wind",sumcapssstable[2022-23])</f>
        <v>1367.8799999999999</v>
      </c>
      <c r="G95" s="102">
        <f>SUMIF(sumcapssstable[FuelType],"Wind",sumcapssstable[2023-24])</f>
        <v>1367.8799999999999</v>
      </c>
      <c r="H95" s="99">
        <f>SUMIF(sumcapssstable[FuelType],"Wind",sumcapssstable[2024-25])</f>
        <v>1367.8799999999999</v>
      </c>
      <c r="I95" s="102">
        <f>SUMIF(sumcapssstable[FuelType],"Wind",sumcapssstable[2025-26])</f>
        <v>1367.8799999999999</v>
      </c>
      <c r="J95" s="99">
        <f>SUMIF(sumcapssstable[FuelType],"Wind",sumcapssstable[2026-27])</f>
        <v>1367.8799999999999</v>
      </c>
      <c r="K95" s="102">
        <f>SUMIF(sumcapssstable[FuelType],"Wind",sumcapssstable[2027-28])</f>
        <v>1367.8799999999999</v>
      </c>
    </row>
    <row r="96" spans="1:15" ht="15.75" thickBot="1">
      <c r="A96" s="53" t="s">
        <v>642</v>
      </c>
      <c r="B96" s="99">
        <f>SUMIF(sumcapssstable[FuelType],"Solar",sumcapssstable[2018-19])</f>
        <v>467.8</v>
      </c>
      <c r="C96" s="102">
        <f>SUMIF(sumcapssstable[FuelType],"Solar",sumcapssstable[2019-20])</f>
        <v>558.9</v>
      </c>
      <c r="D96" s="99">
        <f>SUMIF(sumcapssstable[FuelType],"Solar",sumcapssstable[2020-21])</f>
        <v>558.5</v>
      </c>
      <c r="E96" s="102">
        <f>SUMIF(sumcapssstable[FuelType],"Solar",sumcapssstable[2021-22])</f>
        <v>558.09999999999991</v>
      </c>
      <c r="F96" s="99">
        <f>SUMIF(sumcapssstable[FuelType],"Solar",sumcapssstable[2022-23])</f>
        <v>557.79999999999995</v>
      </c>
      <c r="G96" s="102">
        <f>SUMIF(sumcapssstable[FuelType],"Solar",sumcapssstable[2023-24])</f>
        <v>557.4</v>
      </c>
      <c r="H96" s="99">
        <f>SUMIF(sumcapssstable[FuelType],"Solar",sumcapssstable[2024-25])</f>
        <v>557</v>
      </c>
      <c r="I96" s="102">
        <f>SUMIF(sumcapssstable[FuelType],"Solar",sumcapssstable[2025-26])</f>
        <v>556.59999999999991</v>
      </c>
      <c r="J96" s="99">
        <f>SUMIF(sumcapssstable[FuelType],"Solar",sumcapssstable[2026-27])</f>
        <v>556.29999999999995</v>
      </c>
      <c r="K96" s="102">
        <f>SUMIF(sumcapssstable[FuelType],"Solar",sumcapssstable[2027-28])</f>
        <v>555.9</v>
      </c>
    </row>
  </sheetData>
  <mergeCells count="4">
    <mergeCell ref="A43:L43"/>
    <mergeCell ref="A44:L44"/>
    <mergeCell ref="A45:L45"/>
    <mergeCell ref="A46:L46"/>
  </mergeCells>
  <pageMargins left="0.7" right="0.7" top="0.75" bottom="0.75" header="0.3" footer="0.3"/>
  <pageSetup paperSize="9" orientation="portrait" verticalDpi="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96"/>
  <sheetViews>
    <sheetView workbookViewId="0"/>
  </sheetViews>
  <sheetFormatPr defaultColWidth="9.140625" defaultRowHeight="15"/>
  <cols>
    <col min="1" max="1" width="23.85546875" style="29" bestFit="1" customWidth="1"/>
    <col min="2" max="11" width="9" style="29" bestFit="1" customWidth="1"/>
    <col min="12" max="12" width="16.140625" style="29" bestFit="1" customWidth="1"/>
    <col min="13" max="13" width="12.7109375" style="29" hidden="1" customWidth="1"/>
    <col min="14" max="14" width="11" style="29" hidden="1" customWidth="1"/>
    <col min="15" max="15" width="11.42578125" style="29" hidden="1" customWidth="1"/>
    <col min="16" max="16384" width="9.140625" style="29"/>
  </cols>
  <sheetData>
    <row r="1" spans="1:15" ht="20.25" thickBot="1">
      <c r="A1" s="49" t="s">
        <v>624</v>
      </c>
    </row>
    <row r="2" spans="1:15" ht="15.75" thickBot="1">
      <c r="A2" s="68" t="s">
        <v>606</v>
      </c>
      <c r="B2" s="68" t="s">
        <v>625</v>
      </c>
      <c r="C2" s="68" t="s">
        <v>626</v>
      </c>
      <c r="D2" s="68" t="s">
        <v>627</v>
      </c>
      <c r="E2" s="68" t="s">
        <v>628</v>
      </c>
      <c r="F2" s="68" t="s">
        <v>629</v>
      </c>
      <c r="G2" s="68" t="s">
        <v>630</v>
      </c>
      <c r="H2" s="68" t="s">
        <v>631</v>
      </c>
      <c r="I2" s="68" t="s">
        <v>632</v>
      </c>
      <c r="J2" s="68" t="s">
        <v>633</v>
      </c>
      <c r="K2" s="68" t="s">
        <v>634</v>
      </c>
      <c r="L2" s="68" t="s">
        <v>607</v>
      </c>
      <c r="M2" s="68" t="s">
        <v>608</v>
      </c>
      <c r="N2" s="68" t="s">
        <v>7</v>
      </c>
      <c r="O2" s="68" t="s">
        <v>609</v>
      </c>
    </row>
    <row r="3" spans="1:15" ht="15.75" thickBot="1">
      <c r="A3" s="19" t="s">
        <v>19</v>
      </c>
      <c r="B3" s="93">
        <v>2640</v>
      </c>
      <c r="C3" s="94">
        <v>2665</v>
      </c>
      <c r="D3" s="93">
        <v>2690</v>
      </c>
      <c r="E3" s="94">
        <v>2715</v>
      </c>
      <c r="F3" s="93">
        <v>2740</v>
      </c>
      <c r="G3" s="94">
        <v>2740</v>
      </c>
      <c r="H3" s="93">
        <v>2740</v>
      </c>
      <c r="I3" s="94">
        <v>2740</v>
      </c>
      <c r="J3" s="93">
        <v>2740</v>
      </c>
      <c r="K3" s="94">
        <v>2740</v>
      </c>
      <c r="L3" s="73" t="s">
        <v>10</v>
      </c>
      <c r="M3" s="25" t="s">
        <v>610</v>
      </c>
      <c r="N3" s="73" t="s">
        <v>24</v>
      </c>
      <c r="O3" s="25" t="s">
        <v>635</v>
      </c>
    </row>
    <row r="4" spans="1:15" ht="15.75" thickBot="1">
      <c r="A4" s="18" t="s">
        <v>105</v>
      </c>
      <c r="B4" s="95">
        <v>0</v>
      </c>
      <c r="C4" s="96">
        <v>83</v>
      </c>
      <c r="D4" s="95">
        <v>83</v>
      </c>
      <c r="E4" s="96">
        <v>83</v>
      </c>
      <c r="F4" s="95">
        <v>83</v>
      </c>
      <c r="G4" s="96">
        <v>83</v>
      </c>
      <c r="H4" s="95">
        <v>83</v>
      </c>
      <c r="I4" s="96">
        <v>83</v>
      </c>
      <c r="J4" s="95">
        <v>83</v>
      </c>
      <c r="K4" s="96">
        <v>83</v>
      </c>
      <c r="L4" s="72" t="s">
        <v>14</v>
      </c>
      <c r="M4" s="24" t="s">
        <v>37</v>
      </c>
      <c r="N4" s="72" t="s">
        <v>24</v>
      </c>
      <c r="O4" s="24" t="s">
        <v>635</v>
      </c>
    </row>
    <row r="5" spans="1:15" ht="15.75" thickBot="1">
      <c r="A5" s="18" t="s">
        <v>25</v>
      </c>
      <c r="B5" s="95">
        <v>80</v>
      </c>
      <c r="C5" s="96">
        <v>80</v>
      </c>
      <c r="D5" s="95">
        <v>80</v>
      </c>
      <c r="E5" s="96">
        <v>80</v>
      </c>
      <c r="F5" s="95">
        <v>80</v>
      </c>
      <c r="G5" s="96">
        <v>80</v>
      </c>
      <c r="H5" s="95">
        <v>80</v>
      </c>
      <c r="I5" s="96">
        <v>80</v>
      </c>
      <c r="J5" s="95">
        <v>80</v>
      </c>
      <c r="K5" s="96">
        <v>80</v>
      </c>
      <c r="L5" s="72" t="s">
        <v>10</v>
      </c>
      <c r="M5" s="24" t="s">
        <v>612</v>
      </c>
      <c r="N5" s="72" t="s">
        <v>24</v>
      </c>
      <c r="O5" s="24" t="s">
        <v>635</v>
      </c>
    </row>
    <row r="6" spans="1:15" ht="15.75" thickBot="1">
      <c r="A6" s="18" t="s">
        <v>28</v>
      </c>
      <c r="B6" s="95">
        <v>113.17999999999999</v>
      </c>
      <c r="C6" s="96">
        <v>113.17999999999999</v>
      </c>
      <c r="D6" s="95">
        <v>113.17999999999999</v>
      </c>
      <c r="E6" s="96">
        <v>113.17999999999999</v>
      </c>
      <c r="F6" s="95">
        <v>113.17999999999999</v>
      </c>
      <c r="G6" s="96">
        <v>113.17999999999999</v>
      </c>
      <c r="H6" s="95">
        <v>113.17999999999999</v>
      </c>
      <c r="I6" s="96">
        <v>113.17999999999999</v>
      </c>
      <c r="J6" s="95">
        <v>113.17999999999999</v>
      </c>
      <c r="K6" s="96">
        <v>113.17999999999999</v>
      </c>
      <c r="L6" s="72" t="s">
        <v>14</v>
      </c>
      <c r="M6" s="24" t="s">
        <v>13</v>
      </c>
      <c r="N6" s="72" t="s">
        <v>24</v>
      </c>
      <c r="O6" s="24" t="s">
        <v>635</v>
      </c>
    </row>
    <row r="7" spans="1:15" ht="15.75" thickBot="1">
      <c r="A7" s="18" t="s">
        <v>107</v>
      </c>
      <c r="B7" s="95">
        <v>113.19</v>
      </c>
      <c r="C7" s="96">
        <v>113.19</v>
      </c>
      <c r="D7" s="95">
        <v>113.19</v>
      </c>
      <c r="E7" s="96">
        <v>113.19</v>
      </c>
      <c r="F7" s="95">
        <v>113.19</v>
      </c>
      <c r="G7" s="96">
        <v>113.19</v>
      </c>
      <c r="H7" s="95">
        <v>113.19</v>
      </c>
      <c r="I7" s="96">
        <v>113.19</v>
      </c>
      <c r="J7" s="95">
        <v>113.19</v>
      </c>
      <c r="K7" s="96">
        <v>113.19</v>
      </c>
      <c r="L7" s="72" t="s">
        <v>14</v>
      </c>
      <c r="M7" s="24" t="s">
        <v>13</v>
      </c>
      <c r="N7" s="72" t="s">
        <v>24</v>
      </c>
      <c r="O7" s="24" t="s">
        <v>635</v>
      </c>
    </row>
    <row r="8" spans="1:15" ht="15.75" thickBot="1">
      <c r="A8" s="18" t="s">
        <v>33</v>
      </c>
      <c r="B8" s="95">
        <v>53</v>
      </c>
      <c r="C8" s="96">
        <v>53</v>
      </c>
      <c r="D8" s="95">
        <v>53</v>
      </c>
      <c r="E8" s="96">
        <v>53</v>
      </c>
      <c r="F8" s="95">
        <v>53</v>
      </c>
      <c r="G8" s="96">
        <v>53</v>
      </c>
      <c r="H8" s="95">
        <v>53</v>
      </c>
      <c r="I8" s="96">
        <v>53</v>
      </c>
      <c r="J8" s="95">
        <v>53</v>
      </c>
      <c r="K8" s="96">
        <v>53</v>
      </c>
      <c r="L8" s="72" t="s">
        <v>14</v>
      </c>
      <c r="M8" s="24" t="s">
        <v>37</v>
      </c>
      <c r="N8" s="72" t="s">
        <v>24</v>
      </c>
      <c r="O8" s="24" t="s">
        <v>635</v>
      </c>
    </row>
    <row r="9" spans="1:15" ht="15.75" thickBot="1">
      <c r="A9" s="18" t="s">
        <v>109</v>
      </c>
      <c r="B9" s="95">
        <v>130</v>
      </c>
      <c r="C9" s="96">
        <v>130</v>
      </c>
      <c r="D9" s="95">
        <v>130</v>
      </c>
      <c r="E9" s="96">
        <v>130</v>
      </c>
      <c r="F9" s="95">
        <v>130</v>
      </c>
      <c r="G9" s="96">
        <v>130</v>
      </c>
      <c r="H9" s="95">
        <v>130</v>
      </c>
      <c r="I9" s="96">
        <v>130</v>
      </c>
      <c r="J9" s="95">
        <v>130</v>
      </c>
      <c r="K9" s="96">
        <v>130</v>
      </c>
      <c r="L9" s="72" t="s">
        <v>14</v>
      </c>
      <c r="M9" s="24" t="s">
        <v>37</v>
      </c>
      <c r="N9" s="72" t="s">
        <v>24</v>
      </c>
      <c r="O9" s="24" t="s">
        <v>635</v>
      </c>
    </row>
    <row r="10" spans="1:15" ht="15.75" thickBot="1">
      <c r="A10" s="18" t="s">
        <v>39</v>
      </c>
      <c r="B10" s="95">
        <v>724</v>
      </c>
      <c r="C10" s="96">
        <v>724</v>
      </c>
      <c r="D10" s="95">
        <v>724</v>
      </c>
      <c r="E10" s="96">
        <v>724</v>
      </c>
      <c r="F10" s="95">
        <v>724</v>
      </c>
      <c r="G10" s="96">
        <v>724</v>
      </c>
      <c r="H10" s="95">
        <v>724</v>
      </c>
      <c r="I10" s="96">
        <v>724</v>
      </c>
      <c r="J10" s="95">
        <v>724</v>
      </c>
      <c r="K10" s="96">
        <v>724</v>
      </c>
      <c r="L10" s="72" t="s">
        <v>10</v>
      </c>
      <c r="M10" s="24" t="s">
        <v>610</v>
      </c>
      <c r="N10" s="72" t="s">
        <v>24</v>
      </c>
      <c r="O10" s="24" t="s">
        <v>635</v>
      </c>
    </row>
    <row r="11" spans="1:15" ht="15.75" thickBot="1">
      <c r="A11" s="18" t="s">
        <v>111</v>
      </c>
      <c r="B11" s="95">
        <v>91</v>
      </c>
      <c r="C11" s="96">
        <v>91</v>
      </c>
      <c r="D11" s="95">
        <v>91</v>
      </c>
      <c r="E11" s="96">
        <v>91</v>
      </c>
      <c r="F11" s="95">
        <v>91</v>
      </c>
      <c r="G11" s="96">
        <v>91</v>
      </c>
      <c r="H11" s="95">
        <v>91</v>
      </c>
      <c r="I11" s="96">
        <v>91</v>
      </c>
      <c r="J11" s="95">
        <v>91</v>
      </c>
      <c r="K11" s="96">
        <v>91</v>
      </c>
      <c r="L11" s="72" t="s">
        <v>14</v>
      </c>
      <c r="M11" s="24" t="s">
        <v>13</v>
      </c>
      <c r="N11" s="72" t="s">
        <v>24</v>
      </c>
      <c r="O11" s="24" t="s">
        <v>635</v>
      </c>
    </row>
    <row r="12" spans="1:15" ht="15.75" thickBot="1">
      <c r="A12" s="18" t="s">
        <v>771</v>
      </c>
      <c r="B12" s="95">
        <v>0</v>
      </c>
      <c r="C12" s="96">
        <v>135</v>
      </c>
      <c r="D12" s="95">
        <v>135</v>
      </c>
      <c r="E12" s="96">
        <v>135</v>
      </c>
      <c r="F12" s="95">
        <v>135</v>
      </c>
      <c r="G12" s="96">
        <v>135</v>
      </c>
      <c r="H12" s="95">
        <v>135</v>
      </c>
      <c r="I12" s="96">
        <v>135</v>
      </c>
      <c r="J12" s="95">
        <v>135</v>
      </c>
      <c r="K12" s="96">
        <v>135</v>
      </c>
      <c r="L12" s="72" t="s">
        <v>14</v>
      </c>
      <c r="M12" s="24" t="s">
        <v>13</v>
      </c>
      <c r="N12" s="72" t="s">
        <v>24</v>
      </c>
      <c r="O12" s="24" t="s">
        <v>635</v>
      </c>
    </row>
    <row r="13" spans="1:15" ht="15.75" thickBot="1">
      <c r="A13" s="18" t="s">
        <v>42</v>
      </c>
      <c r="B13" s="95">
        <v>2880</v>
      </c>
      <c r="C13" s="96">
        <v>2880</v>
      </c>
      <c r="D13" s="95">
        <v>2880</v>
      </c>
      <c r="E13" s="96">
        <v>2880</v>
      </c>
      <c r="F13" s="95">
        <v>2880</v>
      </c>
      <c r="G13" s="96">
        <v>2880</v>
      </c>
      <c r="H13" s="95">
        <v>2880</v>
      </c>
      <c r="I13" s="96">
        <v>2880</v>
      </c>
      <c r="J13" s="95">
        <v>2880</v>
      </c>
      <c r="K13" s="96">
        <v>2880</v>
      </c>
      <c r="L13" s="72" t="s">
        <v>10</v>
      </c>
      <c r="M13" s="24" t="s">
        <v>610</v>
      </c>
      <c r="N13" s="72" t="s">
        <v>24</v>
      </c>
      <c r="O13" s="24" t="s">
        <v>635</v>
      </c>
    </row>
    <row r="14" spans="1:15" ht="15.75" thickBot="1">
      <c r="A14" s="18" t="s">
        <v>45</v>
      </c>
      <c r="B14" s="95">
        <v>10</v>
      </c>
      <c r="C14" s="96">
        <v>10</v>
      </c>
      <c r="D14" s="95">
        <v>10</v>
      </c>
      <c r="E14" s="96">
        <v>10</v>
      </c>
      <c r="F14" s="95">
        <v>10</v>
      </c>
      <c r="G14" s="96">
        <v>10</v>
      </c>
      <c r="H14" s="95">
        <v>10</v>
      </c>
      <c r="I14" s="96">
        <v>10</v>
      </c>
      <c r="J14" s="95">
        <v>10</v>
      </c>
      <c r="K14" s="96">
        <v>10</v>
      </c>
      <c r="L14" s="72" t="s">
        <v>14</v>
      </c>
      <c r="M14" s="24" t="s">
        <v>37</v>
      </c>
      <c r="N14" s="72" t="s">
        <v>24</v>
      </c>
      <c r="O14" s="24" t="s">
        <v>635</v>
      </c>
    </row>
    <row r="15" spans="1:15" ht="15.75" thickBot="1">
      <c r="A15" s="18" t="s">
        <v>613</v>
      </c>
      <c r="B15" s="95">
        <v>165.5</v>
      </c>
      <c r="C15" s="96">
        <v>165.5</v>
      </c>
      <c r="D15" s="95">
        <v>165.5</v>
      </c>
      <c r="E15" s="96">
        <v>165.5</v>
      </c>
      <c r="F15" s="95">
        <v>165.5</v>
      </c>
      <c r="G15" s="96">
        <v>165.5</v>
      </c>
      <c r="H15" s="95">
        <v>165.5</v>
      </c>
      <c r="I15" s="96">
        <v>165.5</v>
      </c>
      <c r="J15" s="95">
        <v>165.5</v>
      </c>
      <c r="K15" s="96">
        <v>165.5</v>
      </c>
      <c r="L15" s="72" t="s">
        <v>14</v>
      </c>
      <c r="M15" s="24" t="s">
        <v>13</v>
      </c>
      <c r="N15" s="72" t="s">
        <v>24</v>
      </c>
      <c r="O15" s="24" t="s">
        <v>635</v>
      </c>
    </row>
    <row r="16" spans="1:15" ht="15.75" thickBot="1">
      <c r="A16" s="18" t="s">
        <v>756</v>
      </c>
      <c r="B16" s="95">
        <v>46.5</v>
      </c>
      <c r="C16" s="96">
        <v>46.5</v>
      </c>
      <c r="D16" s="95">
        <v>46.5</v>
      </c>
      <c r="E16" s="96">
        <v>46.5</v>
      </c>
      <c r="F16" s="95">
        <v>46.5</v>
      </c>
      <c r="G16" s="96">
        <v>46.5</v>
      </c>
      <c r="H16" s="95">
        <v>46.5</v>
      </c>
      <c r="I16" s="96">
        <v>46.5</v>
      </c>
      <c r="J16" s="95">
        <v>46.5</v>
      </c>
      <c r="K16" s="96">
        <v>46.5</v>
      </c>
      <c r="L16" s="72" t="s">
        <v>14</v>
      </c>
      <c r="M16" s="24" t="s">
        <v>13</v>
      </c>
      <c r="N16" s="72" t="s">
        <v>24</v>
      </c>
      <c r="O16" s="24" t="s">
        <v>635</v>
      </c>
    </row>
    <row r="17" spans="1:15" ht="15.75" thickBot="1">
      <c r="A17" s="18" t="s">
        <v>50</v>
      </c>
      <c r="B17" s="95">
        <v>34</v>
      </c>
      <c r="C17" s="96">
        <v>68</v>
      </c>
      <c r="D17" s="95">
        <v>68</v>
      </c>
      <c r="E17" s="96">
        <v>68</v>
      </c>
      <c r="F17" s="95">
        <v>68</v>
      </c>
      <c r="G17" s="96">
        <v>68</v>
      </c>
      <c r="H17" s="95">
        <v>68</v>
      </c>
      <c r="I17" s="96">
        <v>68</v>
      </c>
      <c r="J17" s="95">
        <v>68</v>
      </c>
      <c r="K17" s="96">
        <v>68</v>
      </c>
      <c r="L17" s="72" t="s">
        <v>10</v>
      </c>
      <c r="M17" s="24" t="s">
        <v>612</v>
      </c>
      <c r="N17" s="72" t="s">
        <v>24</v>
      </c>
      <c r="O17" s="24" t="s">
        <v>635</v>
      </c>
    </row>
    <row r="18" spans="1:15" ht="15.75" thickBot="1">
      <c r="A18" s="18" t="s">
        <v>54</v>
      </c>
      <c r="B18" s="95">
        <v>0</v>
      </c>
      <c r="C18" s="96">
        <v>0</v>
      </c>
      <c r="D18" s="95">
        <v>0</v>
      </c>
      <c r="E18" s="96">
        <v>0</v>
      </c>
      <c r="F18" s="95">
        <v>0</v>
      </c>
      <c r="G18" s="96">
        <v>0</v>
      </c>
      <c r="H18" s="95">
        <v>0</v>
      </c>
      <c r="I18" s="96">
        <v>0</v>
      </c>
      <c r="J18" s="95">
        <v>0</v>
      </c>
      <c r="K18" s="96">
        <v>0</v>
      </c>
      <c r="L18" s="72" t="s">
        <v>10</v>
      </c>
      <c r="M18" s="24" t="s">
        <v>612</v>
      </c>
      <c r="N18" s="72" t="s">
        <v>24</v>
      </c>
      <c r="O18" s="24" t="s">
        <v>635</v>
      </c>
    </row>
    <row r="19" spans="1:15" ht="15.75" thickBot="1">
      <c r="A19" s="18" t="s">
        <v>57</v>
      </c>
      <c r="B19" s="95">
        <v>40</v>
      </c>
      <c r="C19" s="96">
        <v>40</v>
      </c>
      <c r="D19" s="95">
        <v>40</v>
      </c>
      <c r="E19" s="96">
        <v>40</v>
      </c>
      <c r="F19" s="95">
        <v>40</v>
      </c>
      <c r="G19" s="96">
        <v>40</v>
      </c>
      <c r="H19" s="95">
        <v>40</v>
      </c>
      <c r="I19" s="96">
        <v>40</v>
      </c>
      <c r="J19" s="95">
        <v>40</v>
      </c>
      <c r="K19" s="96">
        <v>40</v>
      </c>
      <c r="L19" s="72" t="s">
        <v>10</v>
      </c>
      <c r="M19" s="24" t="s">
        <v>610</v>
      </c>
      <c r="N19" s="72" t="s">
        <v>24</v>
      </c>
      <c r="O19" s="24" t="s">
        <v>635</v>
      </c>
    </row>
    <row r="20" spans="1:15" ht="15.75" thickBot="1">
      <c r="A20" s="18" t="s">
        <v>59</v>
      </c>
      <c r="B20" s="95">
        <v>1800</v>
      </c>
      <c r="C20" s="96">
        <v>1800</v>
      </c>
      <c r="D20" s="95">
        <v>1800</v>
      </c>
      <c r="E20" s="96">
        <v>1800</v>
      </c>
      <c r="F20" s="95">
        <v>0</v>
      </c>
      <c r="G20" s="96">
        <v>0</v>
      </c>
      <c r="H20" s="95">
        <v>0</v>
      </c>
      <c r="I20" s="96">
        <v>0</v>
      </c>
      <c r="J20" s="95">
        <v>0</v>
      </c>
      <c r="K20" s="96">
        <v>0</v>
      </c>
      <c r="L20" s="72" t="s">
        <v>10</v>
      </c>
      <c r="M20" s="24" t="s">
        <v>610</v>
      </c>
      <c r="N20" s="72" t="s">
        <v>24</v>
      </c>
      <c r="O20" s="24" t="s">
        <v>635</v>
      </c>
    </row>
    <row r="21" spans="1:15" ht="15.75" thickBot="1">
      <c r="A21" s="18" t="s">
        <v>62</v>
      </c>
      <c r="B21" s="95">
        <v>45</v>
      </c>
      <c r="C21" s="96">
        <v>45</v>
      </c>
      <c r="D21" s="95">
        <v>45</v>
      </c>
      <c r="E21" s="96">
        <v>45</v>
      </c>
      <c r="F21" s="95">
        <v>45</v>
      </c>
      <c r="G21" s="96">
        <v>45</v>
      </c>
      <c r="H21" s="95">
        <v>45</v>
      </c>
      <c r="I21" s="96">
        <v>45</v>
      </c>
      <c r="J21" s="95">
        <v>45</v>
      </c>
      <c r="K21" s="96">
        <v>45</v>
      </c>
      <c r="L21" s="72" t="s">
        <v>14</v>
      </c>
      <c r="M21" s="24" t="s">
        <v>37</v>
      </c>
      <c r="N21" s="72" t="s">
        <v>24</v>
      </c>
      <c r="O21" s="24" t="s">
        <v>635</v>
      </c>
    </row>
    <row r="22" spans="1:15" ht="15.75" thickBot="1">
      <c r="A22" s="18" t="s">
        <v>65</v>
      </c>
      <c r="B22" s="95">
        <v>44.7</v>
      </c>
      <c r="C22" s="96">
        <v>44.4</v>
      </c>
      <c r="D22" s="95">
        <v>44.1</v>
      </c>
      <c r="E22" s="96">
        <v>43.8</v>
      </c>
      <c r="F22" s="95">
        <v>43.4</v>
      </c>
      <c r="G22" s="96">
        <v>43.1</v>
      </c>
      <c r="H22" s="95">
        <v>42.8</v>
      </c>
      <c r="I22" s="96">
        <v>42.5</v>
      </c>
      <c r="J22" s="95">
        <v>42.2</v>
      </c>
      <c r="K22" s="96">
        <v>41.9</v>
      </c>
      <c r="L22" s="72" t="s">
        <v>14</v>
      </c>
      <c r="M22" s="24" t="s">
        <v>37</v>
      </c>
      <c r="N22" s="72" t="s">
        <v>24</v>
      </c>
      <c r="O22" s="24" t="s">
        <v>635</v>
      </c>
    </row>
    <row r="23" spans="1:15" ht="15.75" thickBot="1">
      <c r="A23" s="18" t="s">
        <v>68</v>
      </c>
      <c r="B23" s="95">
        <v>1400</v>
      </c>
      <c r="C23" s="96">
        <v>1400</v>
      </c>
      <c r="D23" s="95">
        <v>1400</v>
      </c>
      <c r="E23" s="96">
        <v>1400</v>
      </c>
      <c r="F23" s="95">
        <v>1400</v>
      </c>
      <c r="G23" s="96">
        <v>1400</v>
      </c>
      <c r="H23" s="95">
        <v>1400</v>
      </c>
      <c r="I23" s="96">
        <v>1400</v>
      </c>
      <c r="J23" s="95">
        <v>1400</v>
      </c>
      <c r="K23" s="96">
        <v>1400</v>
      </c>
      <c r="L23" s="72" t="s">
        <v>10</v>
      </c>
      <c r="M23" s="24" t="s">
        <v>610</v>
      </c>
      <c r="N23" s="72" t="s">
        <v>24</v>
      </c>
      <c r="O23" s="24" t="s">
        <v>635</v>
      </c>
    </row>
    <row r="24" spans="1:15" ht="15.75" thickBot="1">
      <c r="A24" s="18" t="s">
        <v>757</v>
      </c>
      <c r="B24" s="95">
        <v>102</v>
      </c>
      <c r="C24" s="96">
        <v>102</v>
      </c>
      <c r="D24" s="95">
        <v>102</v>
      </c>
      <c r="E24" s="96">
        <v>102</v>
      </c>
      <c r="F24" s="95">
        <v>102</v>
      </c>
      <c r="G24" s="96">
        <v>102</v>
      </c>
      <c r="H24" s="95">
        <v>102</v>
      </c>
      <c r="I24" s="96">
        <v>102</v>
      </c>
      <c r="J24" s="95">
        <v>102</v>
      </c>
      <c r="K24" s="96">
        <v>102</v>
      </c>
      <c r="L24" s="72" t="s">
        <v>14</v>
      </c>
      <c r="M24" s="24" t="s">
        <v>37</v>
      </c>
      <c r="N24" s="72" t="s">
        <v>24</v>
      </c>
      <c r="O24" s="24" t="s">
        <v>635</v>
      </c>
    </row>
    <row r="25" spans="1:15" ht="15.75" thickBot="1">
      <c r="A25" s="18" t="s">
        <v>71</v>
      </c>
      <c r="B25" s="95">
        <v>50.5</v>
      </c>
      <c r="C25" s="96">
        <v>53.5</v>
      </c>
      <c r="D25" s="95">
        <v>53.2</v>
      </c>
      <c r="E25" s="96">
        <v>52.9</v>
      </c>
      <c r="F25" s="95">
        <v>52.7</v>
      </c>
      <c r="G25" s="96">
        <v>52.5</v>
      </c>
      <c r="H25" s="95">
        <v>52.3</v>
      </c>
      <c r="I25" s="96">
        <v>52.1</v>
      </c>
      <c r="J25" s="95">
        <v>51.9</v>
      </c>
      <c r="K25" s="96">
        <v>51.8</v>
      </c>
      <c r="L25" s="72" t="s">
        <v>14</v>
      </c>
      <c r="M25" s="24" t="s">
        <v>37</v>
      </c>
      <c r="N25" s="72" t="s">
        <v>24</v>
      </c>
      <c r="O25" s="24" t="s">
        <v>635</v>
      </c>
    </row>
    <row r="26" spans="1:15" ht="15.75" thickBot="1">
      <c r="A26" s="18" t="s">
        <v>73</v>
      </c>
      <c r="B26" s="95">
        <v>270</v>
      </c>
      <c r="C26" s="96">
        <v>270</v>
      </c>
      <c r="D26" s="95">
        <v>270</v>
      </c>
      <c r="E26" s="96">
        <v>270</v>
      </c>
      <c r="F26" s="95">
        <v>270</v>
      </c>
      <c r="G26" s="96">
        <v>270</v>
      </c>
      <c r="H26" s="95">
        <v>270</v>
      </c>
      <c r="I26" s="96">
        <v>270</v>
      </c>
      <c r="J26" s="95">
        <v>270</v>
      </c>
      <c r="K26" s="96">
        <v>270</v>
      </c>
      <c r="L26" s="72" t="s">
        <v>14</v>
      </c>
      <c r="M26" s="24" t="s">
        <v>13</v>
      </c>
      <c r="N26" s="72" t="s">
        <v>24</v>
      </c>
      <c r="O26" s="24" t="s">
        <v>635</v>
      </c>
    </row>
    <row r="27" spans="1:15" ht="15.75" thickBot="1">
      <c r="A27" s="18" t="s">
        <v>76</v>
      </c>
      <c r="B27" s="95">
        <v>240</v>
      </c>
      <c r="C27" s="96">
        <v>240</v>
      </c>
      <c r="D27" s="95">
        <v>240</v>
      </c>
      <c r="E27" s="96">
        <v>240</v>
      </c>
      <c r="F27" s="95">
        <v>240</v>
      </c>
      <c r="G27" s="96">
        <v>240</v>
      </c>
      <c r="H27" s="95">
        <v>240</v>
      </c>
      <c r="I27" s="96">
        <v>240</v>
      </c>
      <c r="J27" s="95">
        <v>240</v>
      </c>
      <c r="K27" s="96">
        <v>240</v>
      </c>
      <c r="L27" s="72" t="s">
        <v>10</v>
      </c>
      <c r="M27" s="24" t="s">
        <v>612</v>
      </c>
      <c r="N27" s="72" t="s">
        <v>24</v>
      </c>
      <c r="O27" s="24" t="s">
        <v>635</v>
      </c>
    </row>
    <row r="28" spans="1:15" ht="15.75" thickBot="1">
      <c r="A28" s="18" t="s">
        <v>614</v>
      </c>
      <c r="B28" s="95">
        <v>0</v>
      </c>
      <c r="C28" s="96">
        <v>0</v>
      </c>
      <c r="D28" s="95">
        <v>0</v>
      </c>
      <c r="E28" s="96">
        <v>0</v>
      </c>
      <c r="F28" s="95">
        <v>0</v>
      </c>
      <c r="G28" s="96">
        <v>0</v>
      </c>
      <c r="H28" s="95">
        <v>0</v>
      </c>
      <c r="I28" s="96">
        <v>0</v>
      </c>
      <c r="J28" s="95">
        <v>0</v>
      </c>
      <c r="K28" s="96">
        <v>0</v>
      </c>
      <c r="L28" s="72" t="s">
        <v>10</v>
      </c>
      <c r="M28" s="24" t="s">
        <v>612</v>
      </c>
      <c r="N28" s="72" t="s">
        <v>24</v>
      </c>
      <c r="O28" s="24" t="s">
        <v>635</v>
      </c>
    </row>
    <row r="29" spans="1:15" ht="15.75" thickBot="1">
      <c r="A29" s="18" t="s">
        <v>78</v>
      </c>
      <c r="B29" s="95">
        <v>198</v>
      </c>
      <c r="C29" s="96">
        <v>198</v>
      </c>
      <c r="D29" s="95">
        <v>198</v>
      </c>
      <c r="E29" s="96">
        <v>198</v>
      </c>
      <c r="F29" s="95">
        <v>198</v>
      </c>
      <c r="G29" s="96">
        <v>198</v>
      </c>
      <c r="H29" s="95">
        <v>198</v>
      </c>
      <c r="I29" s="96">
        <v>198</v>
      </c>
      <c r="J29" s="95">
        <v>198</v>
      </c>
      <c r="K29" s="96">
        <v>198</v>
      </c>
      <c r="L29" s="72" t="s">
        <v>14</v>
      </c>
      <c r="M29" s="24" t="s">
        <v>13</v>
      </c>
      <c r="N29" s="72" t="s">
        <v>24</v>
      </c>
      <c r="O29" s="24" t="s">
        <v>635</v>
      </c>
    </row>
    <row r="30" spans="1:15" ht="15.75" thickBot="1">
      <c r="A30" s="18" t="s">
        <v>81</v>
      </c>
      <c r="B30" s="95">
        <v>108.999</v>
      </c>
      <c r="C30" s="96">
        <v>108.999</v>
      </c>
      <c r="D30" s="95">
        <v>108.999</v>
      </c>
      <c r="E30" s="96">
        <v>108.999</v>
      </c>
      <c r="F30" s="95">
        <v>108.999</v>
      </c>
      <c r="G30" s="96">
        <v>108.999</v>
      </c>
      <c r="H30" s="95">
        <v>108.999</v>
      </c>
      <c r="I30" s="96">
        <v>108.999</v>
      </c>
      <c r="J30" s="95">
        <v>108.999</v>
      </c>
      <c r="K30" s="96">
        <v>108.999</v>
      </c>
      <c r="L30" s="72" t="s">
        <v>10</v>
      </c>
      <c r="M30" s="24" t="s">
        <v>610</v>
      </c>
      <c r="N30" s="72" t="s">
        <v>24</v>
      </c>
      <c r="O30" s="24" t="s">
        <v>635</v>
      </c>
    </row>
    <row r="31" spans="1:15" ht="15.75" thickBot="1">
      <c r="A31" s="18" t="s">
        <v>84</v>
      </c>
      <c r="B31" s="95">
        <v>440</v>
      </c>
      <c r="C31" s="96">
        <v>440</v>
      </c>
      <c r="D31" s="95">
        <v>440</v>
      </c>
      <c r="E31" s="96">
        <v>440</v>
      </c>
      <c r="F31" s="95">
        <v>440</v>
      </c>
      <c r="G31" s="96">
        <v>440</v>
      </c>
      <c r="H31" s="95">
        <v>440</v>
      </c>
      <c r="I31" s="96">
        <v>440</v>
      </c>
      <c r="J31" s="95">
        <v>440</v>
      </c>
      <c r="K31" s="96">
        <v>440</v>
      </c>
      <c r="L31" s="72" t="s">
        <v>10</v>
      </c>
      <c r="M31" s="24" t="s">
        <v>610</v>
      </c>
      <c r="N31" s="72" t="s">
        <v>24</v>
      </c>
      <c r="O31" s="24" t="s">
        <v>635</v>
      </c>
    </row>
    <row r="32" spans="1:15" ht="15.75" thickBot="1">
      <c r="A32" s="18" t="s">
        <v>758</v>
      </c>
      <c r="B32" s="95">
        <v>106.8</v>
      </c>
      <c r="C32" s="96">
        <v>106.8</v>
      </c>
      <c r="D32" s="95">
        <v>106.8</v>
      </c>
      <c r="E32" s="96">
        <v>106.8</v>
      </c>
      <c r="F32" s="95">
        <v>106.8</v>
      </c>
      <c r="G32" s="96">
        <v>106.8</v>
      </c>
      <c r="H32" s="95">
        <v>106.8</v>
      </c>
      <c r="I32" s="96">
        <v>106.8</v>
      </c>
      <c r="J32" s="95">
        <v>106.8</v>
      </c>
      <c r="K32" s="96">
        <v>106.8</v>
      </c>
      <c r="L32" s="72" t="s">
        <v>14</v>
      </c>
      <c r="M32" s="24" t="s">
        <v>13</v>
      </c>
      <c r="N32" s="72" t="s">
        <v>24</v>
      </c>
      <c r="O32" s="24" t="s">
        <v>635</v>
      </c>
    </row>
    <row r="33" spans="1:23" ht="15.75" thickBot="1">
      <c r="A33" s="18" t="s">
        <v>89</v>
      </c>
      <c r="B33" s="95">
        <v>1800</v>
      </c>
      <c r="C33" s="96">
        <v>1800</v>
      </c>
      <c r="D33" s="95">
        <v>1800</v>
      </c>
      <c r="E33" s="96">
        <v>1800</v>
      </c>
      <c r="F33" s="95">
        <v>1800</v>
      </c>
      <c r="G33" s="96">
        <v>1800</v>
      </c>
      <c r="H33" s="95">
        <v>1800</v>
      </c>
      <c r="I33" s="96">
        <v>1800</v>
      </c>
      <c r="J33" s="95">
        <v>1800</v>
      </c>
      <c r="K33" s="96">
        <v>1800</v>
      </c>
      <c r="L33" s="72" t="s">
        <v>10</v>
      </c>
      <c r="M33" s="24" t="s">
        <v>612</v>
      </c>
      <c r="N33" s="72" t="s">
        <v>24</v>
      </c>
      <c r="O33" s="24" t="s">
        <v>635</v>
      </c>
    </row>
    <row r="34" spans="1:23" ht="15.75" thickBot="1">
      <c r="A34" s="18" t="s">
        <v>91</v>
      </c>
      <c r="B34" s="95">
        <v>616</v>
      </c>
      <c r="C34" s="96">
        <v>616</v>
      </c>
      <c r="D34" s="95">
        <v>616</v>
      </c>
      <c r="E34" s="96">
        <v>616</v>
      </c>
      <c r="F34" s="95">
        <v>544</v>
      </c>
      <c r="G34" s="96">
        <v>544</v>
      </c>
      <c r="H34" s="95">
        <v>616</v>
      </c>
      <c r="I34" s="96">
        <v>616</v>
      </c>
      <c r="J34" s="95">
        <v>616</v>
      </c>
      <c r="K34" s="96">
        <v>616</v>
      </c>
      <c r="L34" s="72" t="s">
        <v>10</v>
      </c>
      <c r="M34" s="24" t="s">
        <v>612</v>
      </c>
      <c r="N34" s="72" t="s">
        <v>24</v>
      </c>
      <c r="O34" s="24" t="s">
        <v>635</v>
      </c>
    </row>
    <row r="35" spans="1:23" ht="15.75" thickBot="1">
      <c r="A35" s="18" t="s">
        <v>93</v>
      </c>
      <c r="B35" s="95">
        <v>664</v>
      </c>
      <c r="C35" s="96">
        <v>664</v>
      </c>
      <c r="D35" s="95">
        <v>664</v>
      </c>
      <c r="E35" s="96">
        <v>664</v>
      </c>
      <c r="F35" s="95">
        <v>664</v>
      </c>
      <c r="G35" s="96">
        <v>664</v>
      </c>
      <c r="H35" s="95">
        <v>664</v>
      </c>
      <c r="I35" s="96">
        <v>664</v>
      </c>
      <c r="J35" s="95">
        <v>664</v>
      </c>
      <c r="K35" s="96">
        <v>664</v>
      </c>
      <c r="L35" s="72" t="s">
        <v>10</v>
      </c>
      <c r="M35" s="24" t="s">
        <v>610</v>
      </c>
      <c r="N35" s="72" t="s">
        <v>24</v>
      </c>
      <c r="O35" s="24" t="s">
        <v>635</v>
      </c>
    </row>
    <row r="36" spans="1:23" ht="15.75" thickBot="1">
      <c r="A36" s="18" t="s">
        <v>96</v>
      </c>
      <c r="B36" s="95">
        <v>1320</v>
      </c>
      <c r="C36" s="96">
        <v>1320</v>
      </c>
      <c r="D36" s="95">
        <v>1320</v>
      </c>
      <c r="E36" s="96">
        <v>1320</v>
      </c>
      <c r="F36" s="95">
        <v>1320</v>
      </c>
      <c r="G36" s="96">
        <v>1320</v>
      </c>
      <c r="H36" s="95">
        <v>1320</v>
      </c>
      <c r="I36" s="96">
        <v>1320</v>
      </c>
      <c r="J36" s="95">
        <v>1320</v>
      </c>
      <c r="K36" s="96">
        <v>1320</v>
      </c>
      <c r="L36" s="72" t="s">
        <v>10</v>
      </c>
      <c r="M36" s="24" t="s">
        <v>610</v>
      </c>
      <c r="N36" s="72" t="s">
        <v>24</v>
      </c>
      <c r="O36" s="24" t="s">
        <v>635</v>
      </c>
    </row>
    <row r="37" spans="1:23" ht="15.75" thickBot="1">
      <c r="A37" s="18" t="s">
        <v>664</v>
      </c>
      <c r="B37" s="95">
        <v>0</v>
      </c>
      <c r="C37" s="96">
        <v>0</v>
      </c>
      <c r="D37" s="95">
        <v>0</v>
      </c>
      <c r="E37" s="96">
        <v>0</v>
      </c>
      <c r="F37" s="95">
        <v>0</v>
      </c>
      <c r="G37" s="96">
        <v>0</v>
      </c>
      <c r="H37" s="95">
        <v>0</v>
      </c>
      <c r="I37" s="96">
        <v>0</v>
      </c>
      <c r="J37" s="95">
        <v>0</v>
      </c>
      <c r="K37" s="96">
        <v>0</v>
      </c>
      <c r="L37" s="72" t="s">
        <v>14</v>
      </c>
      <c r="M37" s="24" t="s">
        <v>37</v>
      </c>
      <c r="N37" s="72" t="s">
        <v>24</v>
      </c>
      <c r="O37" s="24" t="s">
        <v>635</v>
      </c>
    </row>
    <row r="38" spans="1:23" ht="15.75" thickBot="1">
      <c r="A38" s="18" t="s">
        <v>665</v>
      </c>
      <c r="B38" s="95">
        <v>172.5</v>
      </c>
      <c r="C38" s="96">
        <v>172.5</v>
      </c>
      <c r="D38" s="95">
        <v>172.5</v>
      </c>
      <c r="E38" s="96">
        <v>172.5</v>
      </c>
      <c r="F38" s="95">
        <v>172.5</v>
      </c>
      <c r="G38" s="96">
        <v>172.5</v>
      </c>
      <c r="H38" s="95">
        <v>172.5</v>
      </c>
      <c r="I38" s="96">
        <v>172.5</v>
      </c>
      <c r="J38" s="95">
        <v>172.5</v>
      </c>
      <c r="K38" s="96">
        <v>172.5</v>
      </c>
      <c r="L38" s="72" t="s">
        <v>14</v>
      </c>
      <c r="M38" s="24" t="s">
        <v>13</v>
      </c>
      <c r="N38" s="72" t="s">
        <v>24</v>
      </c>
      <c r="O38" s="24" t="s">
        <v>635</v>
      </c>
    </row>
    <row r="39" spans="1:23">
      <c r="A39" s="20" t="s">
        <v>99</v>
      </c>
      <c r="B39" s="97">
        <v>48.3</v>
      </c>
      <c r="C39" s="98">
        <v>48.3</v>
      </c>
      <c r="D39" s="97">
        <v>48.3</v>
      </c>
      <c r="E39" s="98">
        <v>48.3</v>
      </c>
      <c r="F39" s="97">
        <v>48.3</v>
      </c>
      <c r="G39" s="98">
        <v>48.3</v>
      </c>
      <c r="H39" s="97">
        <v>48.3</v>
      </c>
      <c r="I39" s="98">
        <v>48.3</v>
      </c>
      <c r="J39" s="97">
        <v>48.3</v>
      </c>
      <c r="K39" s="98">
        <v>48.3</v>
      </c>
      <c r="L39" s="74" t="s">
        <v>14</v>
      </c>
      <c r="M39" s="26" t="s">
        <v>13</v>
      </c>
      <c r="N39" s="74" t="s">
        <v>24</v>
      </c>
      <c r="O39" s="26" t="s">
        <v>635</v>
      </c>
    </row>
    <row r="40" spans="1:23" ht="18.75" customHeight="1" thickBot="1">
      <c r="P40" s="55"/>
      <c r="Q40" s="55"/>
      <c r="R40" s="55"/>
      <c r="S40" s="55"/>
      <c r="T40" s="55"/>
      <c r="U40" s="55"/>
      <c r="V40" s="55"/>
      <c r="W40" s="55"/>
    </row>
    <row r="41" spans="1:23" ht="19.5" customHeight="1" thickBot="1">
      <c r="A41" s="53" t="s">
        <v>102</v>
      </c>
      <c r="B41" s="99">
        <f>SUM(wincapsalltable[2019])</f>
        <v>16547.168999999998</v>
      </c>
      <c r="C41" s="99">
        <f>SUM(wincapsalltable[2020])</f>
        <v>16826.868999999995</v>
      </c>
      <c r="D41" s="99">
        <f>SUM(wincapsalltable[2021])</f>
        <v>16851.268999999997</v>
      </c>
      <c r="E41" s="99">
        <f>SUM(wincapsalltable[2022])</f>
        <v>16875.668999999998</v>
      </c>
      <c r="F41" s="99">
        <f>SUM(wincapsalltable[2023])</f>
        <v>15028.069</v>
      </c>
      <c r="G41" s="99">
        <f>SUM(wincapsalltable[2024])</f>
        <v>15027.569</v>
      </c>
      <c r="H41" s="99">
        <f>SUM(wincapsalltable[2025])</f>
        <v>15099.068999999998</v>
      </c>
      <c r="I41" s="99">
        <f>SUM(wincapsalltable[2026])</f>
        <v>15098.568999999998</v>
      </c>
      <c r="J41" s="99">
        <f>SUM(wincapsalltable[2027])</f>
        <v>15098.068999999998</v>
      </c>
      <c r="K41" s="99">
        <f>SUM(wincapsalltable[2028])</f>
        <v>15097.668999999998</v>
      </c>
      <c r="L41" s="54"/>
      <c r="P41" s="92"/>
      <c r="Q41" s="92"/>
      <c r="R41" s="92"/>
      <c r="S41" s="92"/>
      <c r="T41" s="92"/>
      <c r="U41" s="92"/>
      <c r="V41" s="92"/>
      <c r="W41" s="92"/>
    </row>
    <row r="42" spans="1:23" s="90" customFormat="1" ht="19.5" customHeight="1">
      <c r="A42" s="151"/>
      <c r="B42" s="152"/>
      <c r="C42" s="152"/>
      <c r="D42" s="152"/>
      <c r="E42" s="152"/>
      <c r="F42" s="152"/>
      <c r="G42" s="152"/>
      <c r="H42" s="152"/>
      <c r="I42" s="152"/>
      <c r="J42" s="152"/>
      <c r="K42" s="152"/>
      <c r="L42" s="152"/>
      <c r="P42" s="92"/>
      <c r="Q42" s="92"/>
      <c r="R42" s="92"/>
      <c r="S42" s="92"/>
      <c r="T42" s="92"/>
      <c r="U42" s="92"/>
      <c r="V42" s="92"/>
      <c r="W42" s="92"/>
    </row>
    <row r="43" spans="1:23" ht="30.75" customHeight="1">
      <c r="A43" s="151" t="s">
        <v>636</v>
      </c>
      <c r="B43" s="152"/>
      <c r="C43" s="152"/>
      <c r="D43" s="152"/>
      <c r="E43" s="152"/>
      <c r="F43" s="152"/>
      <c r="G43" s="152"/>
      <c r="H43" s="152"/>
      <c r="I43" s="152"/>
      <c r="J43" s="152"/>
      <c r="K43" s="152"/>
      <c r="L43" s="152"/>
      <c r="P43" s="92"/>
      <c r="Q43" s="92"/>
      <c r="R43" s="92"/>
      <c r="S43" s="92"/>
      <c r="T43" s="92"/>
      <c r="U43" s="92"/>
      <c r="V43" s="92"/>
      <c r="W43" s="92"/>
    </row>
    <row r="44" spans="1:23" ht="58.5" customHeight="1">
      <c r="A44" s="151" t="s">
        <v>616</v>
      </c>
      <c r="B44" s="152"/>
      <c r="C44" s="152"/>
      <c r="D44" s="152"/>
      <c r="E44" s="152"/>
      <c r="F44" s="152"/>
      <c r="G44" s="152"/>
      <c r="H44" s="152"/>
      <c r="I44" s="152"/>
      <c r="J44" s="152"/>
      <c r="K44" s="152"/>
      <c r="L44" s="152"/>
    </row>
    <row r="45" spans="1:23" ht="57.75" customHeight="1">
      <c r="A45" s="151" t="s">
        <v>637</v>
      </c>
      <c r="B45" s="152"/>
      <c r="C45" s="152"/>
      <c r="D45" s="152"/>
      <c r="E45" s="152"/>
      <c r="F45" s="152"/>
      <c r="G45" s="152"/>
      <c r="H45" s="152"/>
      <c r="I45" s="152"/>
      <c r="J45" s="152"/>
      <c r="K45" s="152"/>
      <c r="L45" s="152"/>
    </row>
    <row r="46" spans="1:23" ht="53.25" customHeight="1">
      <c r="A46" s="151" t="s">
        <v>638</v>
      </c>
      <c r="B46" s="152"/>
      <c r="C46" s="152"/>
      <c r="D46" s="152"/>
      <c r="E46" s="152"/>
      <c r="F46" s="152"/>
      <c r="G46" s="152"/>
      <c r="H46" s="152"/>
      <c r="I46" s="152"/>
      <c r="J46" s="152"/>
      <c r="K46" s="152"/>
      <c r="L46" s="152"/>
    </row>
    <row r="47" spans="1:23" ht="15.75" thickBot="1"/>
    <row r="48" spans="1:23" ht="20.25" thickBot="1">
      <c r="A48" s="49" t="s">
        <v>639</v>
      </c>
    </row>
    <row r="49" spans="1:15" ht="15.75" thickBot="1">
      <c r="A49" s="68" t="s">
        <v>606</v>
      </c>
      <c r="B49" s="68" t="s">
        <v>625</v>
      </c>
      <c r="C49" s="68" t="s">
        <v>626</v>
      </c>
      <c r="D49" s="68" t="s">
        <v>627</v>
      </c>
      <c r="E49" s="68" t="s">
        <v>628</v>
      </c>
      <c r="F49" s="68" t="s">
        <v>629</v>
      </c>
      <c r="G49" s="68" t="s">
        <v>630</v>
      </c>
      <c r="H49" s="68" t="s">
        <v>631</v>
      </c>
      <c r="I49" s="68" t="s">
        <v>632</v>
      </c>
      <c r="J49" s="68" t="s">
        <v>633</v>
      </c>
      <c r="K49" s="68" t="s">
        <v>634</v>
      </c>
      <c r="L49" s="68" t="s">
        <v>607</v>
      </c>
      <c r="M49" s="68" t="s">
        <v>608</v>
      </c>
      <c r="N49" s="68" t="s">
        <v>7</v>
      </c>
      <c r="O49" s="68" t="s">
        <v>609</v>
      </c>
    </row>
    <row r="50" spans="1:15" ht="15.75" thickBot="1">
      <c r="A50" s="3" t="s">
        <v>19</v>
      </c>
      <c r="B50" s="100">
        <v>2640</v>
      </c>
      <c r="C50" s="101">
        <v>2665</v>
      </c>
      <c r="D50" s="100">
        <v>2690</v>
      </c>
      <c r="E50" s="101">
        <v>2715</v>
      </c>
      <c r="F50" s="100">
        <v>2740</v>
      </c>
      <c r="G50" s="101">
        <v>2740</v>
      </c>
      <c r="H50" s="100">
        <v>2740</v>
      </c>
      <c r="I50" s="101">
        <v>2740</v>
      </c>
      <c r="J50" s="100">
        <v>2740</v>
      </c>
      <c r="K50" s="101">
        <v>2740</v>
      </c>
      <c r="L50" s="51" t="s">
        <v>10</v>
      </c>
      <c r="M50" s="52" t="s">
        <v>610</v>
      </c>
      <c r="N50" s="51" t="s">
        <v>24</v>
      </c>
      <c r="O50" s="52" t="s">
        <v>635</v>
      </c>
    </row>
    <row r="51" spans="1:15" ht="15.75" thickBot="1">
      <c r="A51" s="3" t="s">
        <v>25</v>
      </c>
      <c r="B51" s="100">
        <v>80</v>
      </c>
      <c r="C51" s="101">
        <v>80</v>
      </c>
      <c r="D51" s="100">
        <v>80</v>
      </c>
      <c r="E51" s="101">
        <v>80</v>
      </c>
      <c r="F51" s="100">
        <v>80</v>
      </c>
      <c r="G51" s="101">
        <v>80</v>
      </c>
      <c r="H51" s="100">
        <v>80</v>
      </c>
      <c r="I51" s="101">
        <v>80</v>
      </c>
      <c r="J51" s="100">
        <v>80</v>
      </c>
      <c r="K51" s="101">
        <v>80</v>
      </c>
      <c r="L51" s="51" t="s">
        <v>10</v>
      </c>
      <c r="M51" s="52" t="s">
        <v>612</v>
      </c>
      <c r="N51" s="51" t="s">
        <v>24</v>
      </c>
      <c r="O51" s="52" t="s">
        <v>635</v>
      </c>
    </row>
    <row r="52" spans="1:15" ht="15.75" thickBot="1">
      <c r="A52" s="3" t="s">
        <v>39</v>
      </c>
      <c r="B52" s="100">
        <v>724</v>
      </c>
      <c r="C52" s="101">
        <v>724</v>
      </c>
      <c r="D52" s="100">
        <v>724</v>
      </c>
      <c r="E52" s="101">
        <v>724</v>
      </c>
      <c r="F52" s="100">
        <v>724</v>
      </c>
      <c r="G52" s="101">
        <v>724</v>
      </c>
      <c r="H52" s="100">
        <v>724</v>
      </c>
      <c r="I52" s="101">
        <v>724</v>
      </c>
      <c r="J52" s="100">
        <v>724</v>
      </c>
      <c r="K52" s="101">
        <v>724</v>
      </c>
      <c r="L52" s="51" t="s">
        <v>10</v>
      </c>
      <c r="M52" s="52" t="s">
        <v>610</v>
      </c>
      <c r="N52" s="51" t="s">
        <v>24</v>
      </c>
      <c r="O52" s="52" t="s">
        <v>635</v>
      </c>
    </row>
    <row r="53" spans="1:15" ht="15.75" thickBot="1">
      <c r="A53" s="3" t="s">
        <v>42</v>
      </c>
      <c r="B53" s="100">
        <v>2880</v>
      </c>
      <c r="C53" s="101">
        <v>2880</v>
      </c>
      <c r="D53" s="100">
        <v>2880</v>
      </c>
      <c r="E53" s="101">
        <v>2880</v>
      </c>
      <c r="F53" s="100">
        <v>2880</v>
      </c>
      <c r="G53" s="101">
        <v>2880</v>
      </c>
      <c r="H53" s="100">
        <v>2880</v>
      </c>
      <c r="I53" s="101">
        <v>2880</v>
      </c>
      <c r="J53" s="100">
        <v>2880</v>
      </c>
      <c r="K53" s="101">
        <v>2880</v>
      </c>
      <c r="L53" s="51" t="s">
        <v>10</v>
      </c>
      <c r="M53" s="52" t="s">
        <v>610</v>
      </c>
      <c r="N53" s="51" t="s">
        <v>24</v>
      </c>
      <c r="O53" s="52" t="s">
        <v>635</v>
      </c>
    </row>
    <row r="54" spans="1:15" ht="15.75" thickBot="1">
      <c r="A54" s="3" t="s">
        <v>50</v>
      </c>
      <c r="B54" s="100">
        <v>34</v>
      </c>
      <c r="C54" s="101">
        <v>68</v>
      </c>
      <c r="D54" s="100">
        <v>68</v>
      </c>
      <c r="E54" s="101">
        <v>68</v>
      </c>
      <c r="F54" s="100">
        <v>68</v>
      </c>
      <c r="G54" s="101">
        <v>68</v>
      </c>
      <c r="H54" s="100">
        <v>68</v>
      </c>
      <c r="I54" s="101">
        <v>68</v>
      </c>
      <c r="J54" s="100">
        <v>68</v>
      </c>
      <c r="K54" s="101">
        <v>68</v>
      </c>
      <c r="L54" s="51" t="s">
        <v>10</v>
      </c>
      <c r="M54" s="52" t="s">
        <v>612</v>
      </c>
      <c r="N54" s="51" t="s">
        <v>24</v>
      </c>
      <c r="O54" s="52" t="s">
        <v>635</v>
      </c>
    </row>
    <row r="55" spans="1:15" ht="15.75" thickBot="1">
      <c r="A55" s="3" t="s">
        <v>54</v>
      </c>
      <c r="B55" s="100">
        <v>0</v>
      </c>
      <c r="C55" s="101">
        <v>0</v>
      </c>
      <c r="D55" s="100">
        <v>0</v>
      </c>
      <c r="E55" s="101">
        <v>0</v>
      </c>
      <c r="F55" s="100">
        <v>0</v>
      </c>
      <c r="G55" s="101">
        <v>0</v>
      </c>
      <c r="H55" s="100">
        <v>0</v>
      </c>
      <c r="I55" s="101">
        <v>0</v>
      </c>
      <c r="J55" s="100">
        <v>0</v>
      </c>
      <c r="K55" s="101">
        <v>0</v>
      </c>
      <c r="L55" s="51" t="s">
        <v>10</v>
      </c>
      <c r="M55" s="52" t="s">
        <v>612</v>
      </c>
      <c r="N55" s="51" t="s">
        <v>24</v>
      </c>
      <c r="O55" s="52" t="s">
        <v>635</v>
      </c>
    </row>
    <row r="56" spans="1:15" ht="15.75" thickBot="1">
      <c r="A56" s="3" t="s">
        <v>57</v>
      </c>
      <c r="B56" s="100">
        <v>40</v>
      </c>
      <c r="C56" s="101">
        <v>40</v>
      </c>
      <c r="D56" s="100">
        <v>40</v>
      </c>
      <c r="E56" s="101">
        <v>40</v>
      </c>
      <c r="F56" s="100">
        <v>40</v>
      </c>
      <c r="G56" s="101">
        <v>40</v>
      </c>
      <c r="H56" s="100">
        <v>40</v>
      </c>
      <c r="I56" s="101">
        <v>40</v>
      </c>
      <c r="J56" s="100">
        <v>40</v>
      </c>
      <c r="K56" s="101">
        <v>40</v>
      </c>
      <c r="L56" s="51" t="s">
        <v>10</v>
      </c>
      <c r="M56" s="52" t="s">
        <v>610</v>
      </c>
      <c r="N56" s="51" t="s">
        <v>24</v>
      </c>
      <c r="O56" s="52" t="s">
        <v>635</v>
      </c>
    </row>
    <row r="57" spans="1:15" ht="15.75" thickBot="1">
      <c r="A57" s="3" t="s">
        <v>59</v>
      </c>
      <c r="B57" s="100">
        <v>1800</v>
      </c>
      <c r="C57" s="101">
        <v>1800</v>
      </c>
      <c r="D57" s="100">
        <v>1800</v>
      </c>
      <c r="E57" s="101">
        <v>1800</v>
      </c>
      <c r="F57" s="100">
        <v>0</v>
      </c>
      <c r="G57" s="101">
        <v>0</v>
      </c>
      <c r="H57" s="100">
        <v>0</v>
      </c>
      <c r="I57" s="101">
        <v>0</v>
      </c>
      <c r="J57" s="100">
        <v>0</v>
      </c>
      <c r="K57" s="101">
        <v>0</v>
      </c>
      <c r="L57" s="51" t="s">
        <v>10</v>
      </c>
      <c r="M57" s="52" t="s">
        <v>610</v>
      </c>
      <c r="N57" s="51" t="s">
        <v>24</v>
      </c>
      <c r="O57" s="52" t="s">
        <v>635</v>
      </c>
    </row>
    <row r="58" spans="1:15" ht="15.75" thickBot="1">
      <c r="A58" s="3" t="s">
        <v>68</v>
      </c>
      <c r="B58" s="100">
        <v>1400</v>
      </c>
      <c r="C58" s="101">
        <v>1400</v>
      </c>
      <c r="D58" s="100">
        <v>1400</v>
      </c>
      <c r="E58" s="101">
        <v>1400</v>
      </c>
      <c r="F58" s="100">
        <v>1400</v>
      </c>
      <c r="G58" s="101">
        <v>1400</v>
      </c>
      <c r="H58" s="100">
        <v>1400</v>
      </c>
      <c r="I58" s="101">
        <v>1400</v>
      </c>
      <c r="J58" s="100">
        <v>1400</v>
      </c>
      <c r="K58" s="101">
        <v>1400</v>
      </c>
      <c r="L58" s="51" t="s">
        <v>10</v>
      </c>
      <c r="M58" s="52" t="s">
        <v>610</v>
      </c>
      <c r="N58" s="51" t="s">
        <v>24</v>
      </c>
      <c r="O58" s="52" t="s">
        <v>635</v>
      </c>
    </row>
    <row r="59" spans="1:15" ht="15.75" thickBot="1">
      <c r="A59" s="3" t="s">
        <v>76</v>
      </c>
      <c r="B59" s="100">
        <v>240</v>
      </c>
      <c r="C59" s="101">
        <v>240</v>
      </c>
      <c r="D59" s="100">
        <v>240</v>
      </c>
      <c r="E59" s="101">
        <v>240</v>
      </c>
      <c r="F59" s="100">
        <v>240</v>
      </c>
      <c r="G59" s="101">
        <v>240</v>
      </c>
      <c r="H59" s="100">
        <v>240</v>
      </c>
      <c r="I59" s="101">
        <v>240</v>
      </c>
      <c r="J59" s="100">
        <v>240</v>
      </c>
      <c r="K59" s="101">
        <v>240</v>
      </c>
      <c r="L59" s="51" t="s">
        <v>10</v>
      </c>
      <c r="M59" s="52" t="s">
        <v>612</v>
      </c>
      <c r="N59" s="51" t="s">
        <v>24</v>
      </c>
      <c r="O59" s="52" t="s">
        <v>635</v>
      </c>
    </row>
    <row r="60" spans="1:15" ht="15.75" thickBot="1">
      <c r="A60" s="3" t="s">
        <v>614</v>
      </c>
      <c r="B60" s="100">
        <v>0</v>
      </c>
      <c r="C60" s="101">
        <v>0</v>
      </c>
      <c r="D60" s="100">
        <v>0</v>
      </c>
      <c r="E60" s="101">
        <v>0</v>
      </c>
      <c r="F60" s="100">
        <v>0</v>
      </c>
      <c r="G60" s="101">
        <v>0</v>
      </c>
      <c r="H60" s="100">
        <v>0</v>
      </c>
      <c r="I60" s="101">
        <v>0</v>
      </c>
      <c r="J60" s="100">
        <v>0</v>
      </c>
      <c r="K60" s="101">
        <v>0</v>
      </c>
      <c r="L60" s="51" t="s">
        <v>10</v>
      </c>
      <c r="M60" s="52" t="s">
        <v>612</v>
      </c>
      <c r="N60" s="51" t="s">
        <v>24</v>
      </c>
      <c r="O60" s="52" t="s">
        <v>635</v>
      </c>
    </row>
    <row r="61" spans="1:15" ht="15.75" thickBot="1">
      <c r="A61" s="3" t="s">
        <v>81</v>
      </c>
      <c r="B61" s="100">
        <v>108.999</v>
      </c>
      <c r="C61" s="101">
        <v>108.999</v>
      </c>
      <c r="D61" s="100">
        <v>108.999</v>
      </c>
      <c r="E61" s="101">
        <v>108.999</v>
      </c>
      <c r="F61" s="100">
        <v>108.999</v>
      </c>
      <c r="G61" s="101">
        <v>108.999</v>
      </c>
      <c r="H61" s="100">
        <v>108.999</v>
      </c>
      <c r="I61" s="101">
        <v>108.999</v>
      </c>
      <c r="J61" s="100">
        <v>108.999</v>
      </c>
      <c r="K61" s="101">
        <v>108.999</v>
      </c>
      <c r="L61" s="51" t="s">
        <v>10</v>
      </c>
      <c r="M61" s="52" t="s">
        <v>610</v>
      </c>
      <c r="N61" s="51" t="s">
        <v>24</v>
      </c>
      <c r="O61" s="52" t="s">
        <v>635</v>
      </c>
    </row>
    <row r="62" spans="1:15" ht="15.75" thickBot="1">
      <c r="A62" s="3" t="s">
        <v>84</v>
      </c>
      <c r="B62" s="100">
        <v>440</v>
      </c>
      <c r="C62" s="101">
        <v>440</v>
      </c>
      <c r="D62" s="100">
        <v>440</v>
      </c>
      <c r="E62" s="101">
        <v>440</v>
      </c>
      <c r="F62" s="100">
        <v>440</v>
      </c>
      <c r="G62" s="101">
        <v>440</v>
      </c>
      <c r="H62" s="100">
        <v>440</v>
      </c>
      <c r="I62" s="101">
        <v>440</v>
      </c>
      <c r="J62" s="100">
        <v>440</v>
      </c>
      <c r="K62" s="101">
        <v>440</v>
      </c>
      <c r="L62" s="51" t="s">
        <v>10</v>
      </c>
      <c r="M62" s="52" t="s">
        <v>610</v>
      </c>
      <c r="N62" s="51" t="s">
        <v>24</v>
      </c>
      <c r="O62" s="52" t="s">
        <v>635</v>
      </c>
    </row>
    <row r="63" spans="1:15" ht="15.75" thickBot="1">
      <c r="A63" s="3" t="s">
        <v>89</v>
      </c>
      <c r="B63" s="100">
        <v>1800</v>
      </c>
      <c r="C63" s="101">
        <v>1800</v>
      </c>
      <c r="D63" s="100">
        <v>1800</v>
      </c>
      <c r="E63" s="101">
        <v>1800</v>
      </c>
      <c r="F63" s="100">
        <v>1800</v>
      </c>
      <c r="G63" s="101">
        <v>1800</v>
      </c>
      <c r="H63" s="100">
        <v>1800</v>
      </c>
      <c r="I63" s="101">
        <v>1800</v>
      </c>
      <c r="J63" s="100">
        <v>1800</v>
      </c>
      <c r="K63" s="101">
        <v>1800</v>
      </c>
      <c r="L63" s="51" t="s">
        <v>10</v>
      </c>
      <c r="M63" s="52" t="s">
        <v>612</v>
      </c>
      <c r="N63" s="51" t="s">
        <v>24</v>
      </c>
      <c r="O63" s="52" t="s">
        <v>635</v>
      </c>
    </row>
    <row r="64" spans="1:15" ht="15.75" thickBot="1">
      <c r="A64" s="3" t="s">
        <v>91</v>
      </c>
      <c r="B64" s="100">
        <v>616</v>
      </c>
      <c r="C64" s="101">
        <v>616</v>
      </c>
      <c r="D64" s="100">
        <v>616</v>
      </c>
      <c r="E64" s="101">
        <v>616</v>
      </c>
      <c r="F64" s="100">
        <v>544</v>
      </c>
      <c r="G64" s="101">
        <v>544</v>
      </c>
      <c r="H64" s="100">
        <v>616</v>
      </c>
      <c r="I64" s="101">
        <v>616</v>
      </c>
      <c r="J64" s="100">
        <v>616</v>
      </c>
      <c r="K64" s="101">
        <v>616</v>
      </c>
      <c r="L64" s="51" t="s">
        <v>10</v>
      </c>
      <c r="M64" s="52" t="s">
        <v>612</v>
      </c>
      <c r="N64" s="51" t="s">
        <v>24</v>
      </c>
      <c r="O64" s="52" t="s">
        <v>635</v>
      </c>
    </row>
    <row r="65" spans="1:15" ht="15.75" thickBot="1">
      <c r="A65" s="3" t="s">
        <v>93</v>
      </c>
      <c r="B65" s="100">
        <v>664</v>
      </c>
      <c r="C65" s="101">
        <v>664</v>
      </c>
      <c r="D65" s="100">
        <v>664</v>
      </c>
      <c r="E65" s="101">
        <v>664</v>
      </c>
      <c r="F65" s="100">
        <v>664</v>
      </c>
      <c r="G65" s="101">
        <v>664</v>
      </c>
      <c r="H65" s="100">
        <v>664</v>
      </c>
      <c r="I65" s="101">
        <v>664</v>
      </c>
      <c r="J65" s="100">
        <v>664</v>
      </c>
      <c r="K65" s="101">
        <v>664</v>
      </c>
      <c r="L65" s="51" t="s">
        <v>10</v>
      </c>
      <c r="M65" s="52" t="s">
        <v>610</v>
      </c>
      <c r="N65" s="51" t="s">
        <v>24</v>
      </c>
      <c r="O65" s="52" t="s">
        <v>635</v>
      </c>
    </row>
    <row r="66" spans="1:15" ht="15.75" thickBot="1">
      <c r="A66" s="3" t="s">
        <v>96</v>
      </c>
      <c r="B66" s="100">
        <v>1320</v>
      </c>
      <c r="C66" s="101">
        <v>1320</v>
      </c>
      <c r="D66" s="100">
        <v>1320</v>
      </c>
      <c r="E66" s="101">
        <v>1320</v>
      </c>
      <c r="F66" s="100">
        <v>1320</v>
      </c>
      <c r="G66" s="101">
        <v>1320</v>
      </c>
      <c r="H66" s="100">
        <v>1320</v>
      </c>
      <c r="I66" s="101">
        <v>1320</v>
      </c>
      <c r="J66" s="100">
        <v>1320</v>
      </c>
      <c r="K66" s="101">
        <v>1320</v>
      </c>
      <c r="L66" s="51" t="s">
        <v>10</v>
      </c>
      <c r="M66" s="52" t="s">
        <v>610</v>
      </c>
      <c r="N66" s="51" t="s">
        <v>24</v>
      </c>
      <c r="O66" s="52" t="s">
        <v>635</v>
      </c>
    </row>
    <row r="67" spans="1:15" ht="15.75" thickBot="1"/>
    <row r="68" spans="1:15" ht="15.75" thickBot="1">
      <c r="A68" s="3" t="s">
        <v>620</v>
      </c>
      <c r="B68" s="100">
        <f>SUMIF(wincapssstable[[FuelType]:[FuelType]],"Wind",wincapssstable[2019])*0.037</f>
        <v>49.023890000000002</v>
      </c>
      <c r="C68" s="101">
        <f>SUMIF(wincapssstable[[FuelType]:[FuelType]],"Wind",wincapssstable[2020])*0.037</f>
        <v>54.018889999999992</v>
      </c>
      <c r="D68" s="100">
        <f>SUMIF(wincapssstable[[FuelType]:[FuelType]],"Wind",wincapssstable[2021])*0.037</f>
        <v>54.018889999999992</v>
      </c>
      <c r="E68" s="101">
        <f>SUMIF(wincapssstable[[FuelType]:[FuelType]],"Wind",wincapssstable[2022])*0.037</f>
        <v>54.018889999999992</v>
      </c>
      <c r="F68" s="100">
        <f>SUMIF(wincapssstable[[FuelType]:[FuelType]],"Wind",wincapssstable[2023])*0.037</f>
        <v>54.018889999999992</v>
      </c>
      <c r="G68" s="101">
        <f>SUMIF(wincapssstable[[FuelType]:[FuelType]],"Wind",wincapssstable[2024])*0.037</f>
        <v>54.018889999999992</v>
      </c>
      <c r="H68" s="100">
        <f>SUMIF(wincapssstable[[FuelType]:[FuelType]],"Wind",wincapssstable[2025])*0.037</f>
        <v>54.018889999999992</v>
      </c>
      <c r="I68" s="101">
        <f>SUMIF(wincapssstable[[FuelType]:[FuelType]],"Wind",wincapssstable[2026])*0.037</f>
        <v>54.018889999999992</v>
      </c>
      <c r="J68" s="100">
        <f>SUMIF(wincapssstable[[FuelType]:[FuelType]],"Wind",wincapssstable[2027])*0.037</f>
        <v>54.018889999999992</v>
      </c>
      <c r="K68" s="101">
        <f>SUMIF(wincapssstable[[FuelType]:[FuelType]],"Wind",wincapssstable[2028])*0.037</f>
        <v>54.018889999999992</v>
      </c>
    </row>
    <row r="69" spans="1:15" ht="15.75" thickBot="1">
      <c r="A69" s="3" t="s">
        <v>621</v>
      </c>
      <c r="B69" s="51" t="s">
        <v>623</v>
      </c>
      <c r="C69" s="52" t="s">
        <v>623</v>
      </c>
      <c r="D69" s="51" t="s">
        <v>623</v>
      </c>
      <c r="E69" s="52" t="s">
        <v>623</v>
      </c>
      <c r="F69" s="51" t="s">
        <v>623</v>
      </c>
      <c r="G69" s="52" t="s">
        <v>623</v>
      </c>
      <c r="H69" s="51" t="s">
        <v>623</v>
      </c>
      <c r="I69" s="52" t="s">
        <v>623</v>
      </c>
      <c r="J69" s="51" t="s">
        <v>623</v>
      </c>
      <c r="K69" s="52" t="s">
        <v>623</v>
      </c>
    </row>
    <row r="70" spans="1:15" ht="15.75" thickBot="1">
      <c r="A70" s="53" t="s">
        <v>102</v>
      </c>
      <c r="B70" s="99">
        <f>SUM(wincapsstable[2019]) +B68</f>
        <v>14836.02289</v>
      </c>
      <c r="C70" s="102">
        <f>SUM(wincapsstable[2020]) +C68</f>
        <v>14900.017889999999</v>
      </c>
      <c r="D70" s="99">
        <f>SUM(wincapsstable[2021]) +D68</f>
        <v>14925.017889999999</v>
      </c>
      <c r="E70" s="102">
        <f>SUM(wincapsstable[2022]) +E68</f>
        <v>14950.017889999999</v>
      </c>
      <c r="F70" s="99">
        <f>SUM(wincapsstable[2023]) +F68</f>
        <v>13103.017889999999</v>
      </c>
      <c r="G70" s="102">
        <f>SUM(wincapsstable[2024]) +G68</f>
        <v>13103.017889999999</v>
      </c>
      <c r="H70" s="99">
        <f>SUM(wincapsstable[2025]) +H68</f>
        <v>13175.017889999999</v>
      </c>
      <c r="I70" s="102">
        <f>SUM(wincapsstable[2026]) +I68</f>
        <v>13175.017889999999</v>
      </c>
      <c r="J70" s="99">
        <f>SUM(wincapsstable[2027]) +J68</f>
        <v>13175.017889999999</v>
      </c>
      <c r="K70" s="102">
        <f>SUM(wincapsstable[2028]) +K68</f>
        <v>13175.017889999999</v>
      </c>
    </row>
    <row r="71" spans="1:15" ht="15.75" thickBot="1"/>
    <row r="72" spans="1:15" ht="20.25" thickBot="1">
      <c r="A72" s="49" t="s">
        <v>640</v>
      </c>
    </row>
    <row r="73" spans="1:15" ht="15.75" thickBot="1">
      <c r="A73" s="68" t="s">
        <v>606</v>
      </c>
      <c r="B73" s="68" t="s">
        <v>625</v>
      </c>
      <c r="C73" s="68" t="s">
        <v>626</v>
      </c>
      <c r="D73" s="68" t="s">
        <v>627</v>
      </c>
      <c r="E73" s="68" t="s">
        <v>628</v>
      </c>
      <c r="F73" s="68" t="s">
        <v>629</v>
      </c>
      <c r="G73" s="68" t="s">
        <v>630</v>
      </c>
      <c r="H73" s="68" t="s">
        <v>631</v>
      </c>
      <c r="I73" s="68" t="s">
        <v>632</v>
      </c>
      <c r="J73" s="68" t="s">
        <v>633</v>
      </c>
      <c r="K73" s="68" t="s">
        <v>634</v>
      </c>
      <c r="L73" s="68" t="s">
        <v>607</v>
      </c>
      <c r="M73" s="68" t="s">
        <v>608</v>
      </c>
      <c r="N73" s="68" t="s">
        <v>7</v>
      </c>
      <c r="O73" s="68" t="s">
        <v>609</v>
      </c>
    </row>
    <row r="74" spans="1:15" ht="15.75" thickBot="1">
      <c r="A74" s="19" t="s">
        <v>105</v>
      </c>
      <c r="B74" s="93">
        <v>0</v>
      </c>
      <c r="C74" s="94">
        <v>83</v>
      </c>
      <c r="D74" s="93">
        <v>83</v>
      </c>
      <c r="E74" s="94">
        <v>83</v>
      </c>
      <c r="F74" s="93">
        <v>83</v>
      </c>
      <c r="G74" s="94">
        <v>83</v>
      </c>
      <c r="H74" s="93">
        <v>83</v>
      </c>
      <c r="I74" s="94">
        <v>83</v>
      </c>
      <c r="J74" s="93">
        <v>83</v>
      </c>
      <c r="K74" s="94">
        <v>83</v>
      </c>
      <c r="L74" s="73" t="s">
        <v>14</v>
      </c>
      <c r="M74" s="25" t="s">
        <v>37</v>
      </c>
      <c r="N74" s="73" t="s">
        <v>24</v>
      </c>
      <c r="O74" s="25" t="s">
        <v>635</v>
      </c>
    </row>
    <row r="75" spans="1:15" ht="15.75" thickBot="1">
      <c r="A75" s="18" t="s">
        <v>28</v>
      </c>
      <c r="B75" s="95">
        <v>113.17999999999999</v>
      </c>
      <c r="C75" s="96">
        <v>113.17999999999999</v>
      </c>
      <c r="D75" s="95">
        <v>113.17999999999999</v>
      </c>
      <c r="E75" s="96">
        <v>113.17999999999999</v>
      </c>
      <c r="F75" s="95">
        <v>113.17999999999999</v>
      </c>
      <c r="G75" s="96">
        <v>113.17999999999999</v>
      </c>
      <c r="H75" s="95">
        <v>113.17999999999999</v>
      </c>
      <c r="I75" s="96">
        <v>113.17999999999999</v>
      </c>
      <c r="J75" s="95">
        <v>113.17999999999999</v>
      </c>
      <c r="K75" s="96">
        <v>113.17999999999999</v>
      </c>
      <c r="L75" s="72" t="s">
        <v>14</v>
      </c>
      <c r="M75" s="24" t="s">
        <v>13</v>
      </c>
      <c r="N75" s="72" t="s">
        <v>24</v>
      </c>
      <c r="O75" s="24" t="s">
        <v>635</v>
      </c>
    </row>
    <row r="76" spans="1:15" ht="15.75" thickBot="1">
      <c r="A76" s="18" t="s">
        <v>107</v>
      </c>
      <c r="B76" s="95">
        <v>113.19</v>
      </c>
      <c r="C76" s="96">
        <v>113.19</v>
      </c>
      <c r="D76" s="95">
        <v>113.19</v>
      </c>
      <c r="E76" s="96">
        <v>113.19</v>
      </c>
      <c r="F76" s="95">
        <v>113.19</v>
      </c>
      <c r="G76" s="96">
        <v>113.19</v>
      </c>
      <c r="H76" s="95">
        <v>113.19</v>
      </c>
      <c r="I76" s="96">
        <v>113.19</v>
      </c>
      <c r="J76" s="95">
        <v>113.19</v>
      </c>
      <c r="K76" s="96">
        <v>113.19</v>
      </c>
      <c r="L76" s="72" t="s">
        <v>14</v>
      </c>
      <c r="M76" s="24" t="s">
        <v>13</v>
      </c>
      <c r="N76" s="72" t="s">
        <v>24</v>
      </c>
      <c r="O76" s="24" t="s">
        <v>635</v>
      </c>
    </row>
    <row r="77" spans="1:15" ht="15.75" thickBot="1">
      <c r="A77" s="18" t="s">
        <v>33</v>
      </c>
      <c r="B77" s="95">
        <v>53</v>
      </c>
      <c r="C77" s="96">
        <v>53</v>
      </c>
      <c r="D77" s="95">
        <v>53</v>
      </c>
      <c r="E77" s="96">
        <v>53</v>
      </c>
      <c r="F77" s="95">
        <v>53</v>
      </c>
      <c r="G77" s="96">
        <v>53</v>
      </c>
      <c r="H77" s="95">
        <v>53</v>
      </c>
      <c r="I77" s="96">
        <v>53</v>
      </c>
      <c r="J77" s="95">
        <v>53</v>
      </c>
      <c r="K77" s="96">
        <v>53</v>
      </c>
      <c r="L77" s="72" t="s">
        <v>14</v>
      </c>
      <c r="M77" s="24" t="s">
        <v>37</v>
      </c>
      <c r="N77" s="72" t="s">
        <v>24</v>
      </c>
      <c r="O77" s="24" t="s">
        <v>635</v>
      </c>
    </row>
    <row r="78" spans="1:15" ht="15.75" thickBot="1">
      <c r="A78" s="18" t="s">
        <v>109</v>
      </c>
      <c r="B78" s="95">
        <v>130</v>
      </c>
      <c r="C78" s="96">
        <v>130</v>
      </c>
      <c r="D78" s="95">
        <v>130</v>
      </c>
      <c r="E78" s="96">
        <v>130</v>
      </c>
      <c r="F78" s="95">
        <v>130</v>
      </c>
      <c r="G78" s="96">
        <v>130</v>
      </c>
      <c r="H78" s="95">
        <v>130</v>
      </c>
      <c r="I78" s="96">
        <v>130</v>
      </c>
      <c r="J78" s="95">
        <v>130</v>
      </c>
      <c r="K78" s="96">
        <v>130</v>
      </c>
      <c r="L78" s="72" t="s">
        <v>14</v>
      </c>
      <c r="M78" s="24" t="s">
        <v>37</v>
      </c>
      <c r="N78" s="72" t="s">
        <v>24</v>
      </c>
      <c r="O78" s="24" t="s">
        <v>635</v>
      </c>
    </row>
    <row r="79" spans="1:15" ht="15.75" thickBot="1">
      <c r="A79" s="18" t="s">
        <v>111</v>
      </c>
      <c r="B79" s="95">
        <v>91</v>
      </c>
      <c r="C79" s="96">
        <v>91</v>
      </c>
      <c r="D79" s="95">
        <v>91</v>
      </c>
      <c r="E79" s="96">
        <v>91</v>
      </c>
      <c r="F79" s="95">
        <v>91</v>
      </c>
      <c r="G79" s="96">
        <v>91</v>
      </c>
      <c r="H79" s="95">
        <v>91</v>
      </c>
      <c r="I79" s="96">
        <v>91</v>
      </c>
      <c r="J79" s="95">
        <v>91</v>
      </c>
      <c r="K79" s="96">
        <v>91</v>
      </c>
      <c r="L79" s="72" t="s">
        <v>14</v>
      </c>
      <c r="M79" s="24" t="s">
        <v>13</v>
      </c>
      <c r="N79" s="72" t="s">
        <v>24</v>
      </c>
      <c r="O79" s="24" t="s">
        <v>635</v>
      </c>
    </row>
    <row r="80" spans="1:15" ht="23.25" thickBot="1">
      <c r="A80" s="18" t="s">
        <v>694</v>
      </c>
      <c r="B80" s="95">
        <v>0</v>
      </c>
      <c r="C80" s="96">
        <v>135</v>
      </c>
      <c r="D80" s="95">
        <v>135</v>
      </c>
      <c r="E80" s="96">
        <v>135</v>
      </c>
      <c r="F80" s="95">
        <v>135</v>
      </c>
      <c r="G80" s="96">
        <v>135</v>
      </c>
      <c r="H80" s="95">
        <v>135</v>
      </c>
      <c r="I80" s="96">
        <v>135</v>
      </c>
      <c r="J80" s="95">
        <v>135</v>
      </c>
      <c r="K80" s="96">
        <v>135</v>
      </c>
      <c r="L80" s="72" t="s">
        <v>14</v>
      </c>
      <c r="M80" s="24" t="s">
        <v>13</v>
      </c>
      <c r="N80" s="72" t="s">
        <v>24</v>
      </c>
      <c r="O80" s="24" t="s">
        <v>635</v>
      </c>
    </row>
    <row r="81" spans="1:15" ht="15.75" thickBot="1">
      <c r="A81" s="18" t="s">
        <v>45</v>
      </c>
      <c r="B81" s="95">
        <v>10</v>
      </c>
      <c r="C81" s="96">
        <v>10</v>
      </c>
      <c r="D81" s="95">
        <v>10</v>
      </c>
      <c r="E81" s="96">
        <v>10</v>
      </c>
      <c r="F81" s="95">
        <v>10</v>
      </c>
      <c r="G81" s="96">
        <v>10</v>
      </c>
      <c r="H81" s="95">
        <v>10</v>
      </c>
      <c r="I81" s="96">
        <v>10</v>
      </c>
      <c r="J81" s="95">
        <v>10</v>
      </c>
      <c r="K81" s="96">
        <v>10</v>
      </c>
      <c r="L81" s="72" t="s">
        <v>14</v>
      </c>
      <c r="M81" s="24" t="s">
        <v>37</v>
      </c>
      <c r="N81" s="72" t="s">
        <v>24</v>
      </c>
      <c r="O81" s="24" t="s">
        <v>635</v>
      </c>
    </row>
    <row r="82" spans="1:15" ht="15.75" thickBot="1">
      <c r="A82" s="18" t="s">
        <v>613</v>
      </c>
      <c r="B82" s="95">
        <v>165.5</v>
      </c>
      <c r="C82" s="96">
        <v>165.5</v>
      </c>
      <c r="D82" s="95">
        <v>165.5</v>
      </c>
      <c r="E82" s="96">
        <v>165.5</v>
      </c>
      <c r="F82" s="95">
        <v>165.5</v>
      </c>
      <c r="G82" s="96">
        <v>165.5</v>
      </c>
      <c r="H82" s="95">
        <v>165.5</v>
      </c>
      <c r="I82" s="96">
        <v>165.5</v>
      </c>
      <c r="J82" s="95">
        <v>165.5</v>
      </c>
      <c r="K82" s="96">
        <v>165.5</v>
      </c>
      <c r="L82" s="72" t="s">
        <v>14</v>
      </c>
      <c r="M82" s="24" t="s">
        <v>13</v>
      </c>
      <c r="N82" s="72" t="s">
        <v>24</v>
      </c>
      <c r="O82" s="24" t="s">
        <v>635</v>
      </c>
    </row>
    <row r="83" spans="1:15" ht="15.75" thickBot="1">
      <c r="A83" s="18" t="s">
        <v>756</v>
      </c>
      <c r="B83" s="95">
        <v>46.5</v>
      </c>
      <c r="C83" s="96">
        <v>46.5</v>
      </c>
      <c r="D83" s="95">
        <v>46.5</v>
      </c>
      <c r="E83" s="96">
        <v>46.5</v>
      </c>
      <c r="F83" s="95">
        <v>46.5</v>
      </c>
      <c r="G83" s="96">
        <v>46.5</v>
      </c>
      <c r="H83" s="95">
        <v>46.5</v>
      </c>
      <c r="I83" s="96">
        <v>46.5</v>
      </c>
      <c r="J83" s="95">
        <v>46.5</v>
      </c>
      <c r="K83" s="96">
        <v>46.5</v>
      </c>
      <c r="L83" s="72" t="s">
        <v>14</v>
      </c>
      <c r="M83" s="24" t="s">
        <v>13</v>
      </c>
      <c r="N83" s="72" t="s">
        <v>24</v>
      </c>
      <c r="O83" s="24" t="s">
        <v>635</v>
      </c>
    </row>
    <row r="84" spans="1:15" ht="15.75" thickBot="1">
      <c r="A84" s="18" t="s">
        <v>62</v>
      </c>
      <c r="B84" s="95">
        <v>45</v>
      </c>
      <c r="C84" s="96">
        <v>45</v>
      </c>
      <c r="D84" s="95">
        <v>45</v>
      </c>
      <c r="E84" s="96">
        <v>45</v>
      </c>
      <c r="F84" s="95">
        <v>45</v>
      </c>
      <c r="G84" s="96">
        <v>45</v>
      </c>
      <c r="H84" s="95">
        <v>45</v>
      </c>
      <c r="I84" s="96">
        <v>45</v>
      </c>
      <c r="J84" s="95">
        <v>45</v>
      </c>
      <c r="K84" s="96">
        <v>45</v>
      </c>
      <c r="L84" s="72" t="s">
        <v>14</v>
      </c>
      <c r="M84" s="24" t="s">
        <v>37</v>
      </c>
      <c r="N84" s="72" t="s">
        <v>24</v>
      </c>
      <c r="O84" s="24" t="s">
        <v>635</v>
      </c>
    </row>
    <row r="85" spans="1:15" ht="15.75" thickBot="1">
      <c r="A85" s="18" t="s">
        <v>65</v>
      </c>
      <c r="B85" s="95">
        <v>44.7</v>
      </c>
      <c r="C85" s="96">
        <v>44.4</v>
      </c>
      <c r="D85" s="95">
        <v>44.1</v>
      </c>
      <c r="E85" s="96">
        <v>43.8</v>
      </c>
      <c r="F85" s="95">
        <v>43.4</v>
      </c>
      <c r="G85" s="96">
        <v>43.1</v>
      </c>
      <c r="H85" s="95">
        <v>42.8</v>
      </c>
      <c r="I85" s="96">
        <v>42.5</v>
      </c>
      <c r="J85" s="95">
        <v>42.2</v>
      </c>
      <c r="K85" s="96">
        <v>41.9</v>
      </c>
      <c r="L85" s="72" t="s">
        <v>14</v>
      </c>
      <c r="M85" s="24" t="s">
        <v>37</v>
      </c>
      <c r="N85" s="72" t="s">
        <v>24</v>
      </c>
      <c r="O85" s="24" t="s">
        <v>635</v>
      </c>
    </row>
    <row r="86" spans="1:15" ht="15.75" thickBot="1">
      <c r="A86" s="18" t="s">
        <v>757</v>
      </c>
      <c r="B86" s="95">
        <v>102</v>
      </c>
      <c r="C86" s="96">
        <v>102</v>
      </c>
      <c r="D86" s="95">
        <v>102</v>
      </c>
      <c r="E86" s="96">
        <v>102</v>
      </c>
      <c r="F86" s="95">
        <v>102</v>
      </c>
      <c r="G86" s="96">
        <v>102</v>
      </c>
      <c r="H86" s="95">
        <v>102</v>
      </c>
      <c r="I86" s="96">
        <v>102</v>
      </c>
      <c r="J86" s="95">
        <v>102</v>
      </c>
      <c r="K86" s="96">
        <v>102</v>
      </c>
      <c r="L86" s="72" t="s">
        <v>14</v>
      </c>
      <c r="M86" s="24" t="s">
        <v>37</v>
      </c>
      <c r="N86" s="72" t="s">
        <v>24</v>
      </c>
      <c r="O86" s="24" t="s">
        <v>635</v>
      </c>
    </row>
    <row r="87" spans="1:15" ht="15.75" thickBot="1">
      <c r="A87" s="18" t="s">
        <v>71</v>
      </c>
      <c r="B87" s="95">
        <v>50.5</v>
      </c>
      <c r="C87" s="96">
        <v>53.5</v>
      </c>
      <c r="D87" s="95">
        <v>53.2</v>
      </c>
      <c r="E87" s="96">
        <v>52.9</v>
      </c>
      <c r="F87" s="95">
        <v>52.7</v>
      </c>
      <c r="G87" s="96">
        <v>52.5</v>
      </c>
      <c r="H87" s="95">
        <v>52.3</v>
      </c>
      <c r="I87" s="96">
        <v>52.1</v>
      </c>
      <c r="J87" s="95">
        <v>51.9</v>
      </c>
      <c r="K87" s="96">
        <v>51.8</v>
      </c>
      <c r="L87" s="72" t="s">
        <v>14</v>
      </c>
      <c r="M87" s="24" t="s">
        <v>37</v>
      </c>
      <c r="N87" s="72" t="s">
        <v>24</v>
      </c>
      <c r="O87" s="24" t="s">
        <v>635</v>
      </c>
    </row>
    <row r="88" spans="1:15" ht="15.75" thickBot="1">
      <c r="A88" s="18" t="s">
        <v>73</v>
      </c>
      <c r="B88" s="95">
        <v>270</v>
      </c>
      <c r="C88" s="96">
        <v>270</v>
      </c>
      <c r="D88" s="95">
        <v>270</v>
      </c>
      <c r="E88" s="96">
        <v>270</v>
      </c>
      <c r="F88" s="95">
        <v>270</v>
      </c>
      <c r="G88" s="96">
        <v>270</v>
      </c>
      <c r="H88" s="95">
        <v>270</v>
      </c>
      <c r="I88" s="96">
        <v>270</v>
      </c>
      <c r="J88" s="95">
        <v>270</v>
      </c>
      <c r="K88" s="96">
        <v>270</v>
      </c>
      <c r="L88" s="72" t="s">
        <v>14</v>
      </c>
      <c r="M88" s="24" t="s">
        <v>13</v>
      </c>
      <c r="N88" s="72" t="s">
        <v>24</v>
      </c>
      <c r="O88" s="24" t="s">
        <v>635</v>
      </c>
    </row>
    <row r="89" spans="1:15" ht="15.75" thickBot="1">
      <c r="A89" s="18" t="s">
        <v>78</v>
      </c>
      <c r="B89" s="95">
        <v>198</v>
      </c>
      <c r="C89" s="96">
        <v>198</v>
      </c>
      <c r="D89" s="95">
        <v>198</v>
      </c>
      <c r="E89" s="96">
        <v>198</v>
      </c>
      <c r="F89" s="95">
        <v>198</v>
      </c>
      <c r="G89" s="96">
        <v>198</v>
      </c>
      <c r="H89" s="95">
        <v>198</v>
      </c>
      <c r="I89" s="96">
        <v>198</v>
      </c>
      <c r="J89" s="95">
        <v>198</v>
      </c>
      <c r="K89" s="96">
        <v>198</v>
      </c>
      <c r="L89" s="72" t="s">
        <v>14</v>
      </c>
      <c r="M89" s="24" t="s">
        <v>13</v>
      </c>
      <c r="N89" s="72" t="s">
        <v>24</v>
      </c>
      <c r="O89" s="24" t="s">
        <v>635</v>
      </c>
    </row>
    <row r="90" spans="1:15" ht="15.75" thickBot="1">
      <c r="A90" s="18" t="s">
        <v>758</v>
      </c>
      <c r="B90" s="95">
        <v>106.8</v>
      </c>
      <c r="C90" s="96">
        <v>106.8</v>
      </c>
      <c r="D90" s="95">
        <v>106.8</v>
      </c>
      <c r="E90" s="96">
        <v>106.8</v>
      </c>
      <c r="F90" s="95">
        <v>106.8</v>
      </c>
      <c r="G90" s="96">
        <v>106.8</v>
      </c>
      <c r="H90" s="95">
        <v>106.8</v>
      </c>
      <c r="I90" s="96">
        <v>106.8</v>
      </c>
      <c r="J90" s="95">
        <v>106.8</v>
      </c>
      <c r="K90" s="96">
        <v>106.8</v>
      </c>
      <c r="L90" s="72" t="s">
        <v>14</v>
      </c>
      <c r="M90" s="24" t="s">
        <v>13</v>
      </c>
      <c r="N90" s="72" t="s">
        <v>24</v>
      </c>
      <c r="O90" s="24" t="s">
        <v>635</v>
      </c>
    </row>
    <row r="91" spans="1:15" ht="15.75" thickBot="1">
      <c r="A91" s="18" t="s">
        <v>664</v>
      </c>
      <c r="B91" s="95">
        <v>0</v>
      </c>
      <c r="C91" s="96">
        <v>0</v>
      </c>
      <c r="D91" s="95">
        <v>0</v>
      </c>
      <c r="E91" s="96">
        <v>0</v>
      </c>
      <c r="F91" s="95">
        <v>0</v>
      </c>
      <c r="G91" s="96">
        <v>0</v>
      </c>
      <c r="H91" s="95">
        <v>0</v>
      </c>
      <c r="I91" s="96">
        <v>0</v>
      </c>
      <c r="J91" s="95">
        <v>0</v>
      </c>
      <c r="K91" s="96">
        <v>0</v>
      </c>
      <c r="L91" s="72" t="s">
        <v>14</v>
      </c>
      <c r="M91" s="24" t="s">
        <v>37</v>
      </c>
      <c r="N91" s="72" t="s">
        <v>24</v>
      </c>
      <c r="O91" s="24" t="s">
        <v>635</v>
      </c>
    </row>
    <row r="92" spans="1:15" ht="15.75" thickBot="1">
      <c r="A92" s="18" t="s">
        <v>665</v>
      </c>
      <c r="B92" s="95">
        <v>172.5</v>
      </c>
      <c r="C92" s="96">
        <v>172.5</v>
      </c>
      <c r="D92" s="95">
        <v>172.5</v>
      </c>
      <c r="E92" s="96">
        <v>172.5</v>
      </c>
      <c r="F92" s="95">
        <v>172.5</v>
      </c>
      <c r="G92" s="96">
        <v>172.5</v>
      </c>
      <c r="H92" s="95">
        <v>172.5</v>
      </c>
      <c r="I92" s="96">
        <v>172.5</v>
      </c>
      <c r="J92" s="95">
        <v>172.5</v>
      </c>
      <c r="K92" s="96">
        <v>172.5</v>
      </c>
      <c r="L92" s="72" t="s">
        <v>14</v>
      </c>
      <c r="M92" s="24" t="s">
        <v>13</v>
      </c>
      <c r="N92" s="72" t="s">
        <v>24</v>
      </c>
      <c r="O92" s="24" t="s">
        <v>635</v>
      </c>
    </row>
    <row r="93" spans="1:15">
      <c r="A93" s="20" t="s">
        <v>99</v>
      </c>
      <c r="B93" s="97">
        <v>48.3</v>
      </c>
      <c r="C93" s="98">
        <v>48.3</v>
      </c>
      <c r="D93" s="97">
        <v>48.3</v>
      </c>
      <c r="E93" s="98">
        <v>48.3</v>
      </c>
      <c r="F93" s="97">
        <v>48.3</v>
      </c>
      <c r="G93" s="98">
        <v>48.3</v>
      </c>
      <c r="H93" s="97">
        <v>48.3</v>
      </c>
      <c r="I93" s="98">
        <v>48.3</v>
      </c>
      <c r="J93" s="97">
        <v>48.3</v>
      </c>
      <c r="K93" s="98">
        <v>48.3</v>
      </c>
      <c r="L93" s="74" t="s">
        <v>14</v>
      </c>
      <c r="M93" s="26" t="s">
        <v>13</v>
      </c>
      <c r="N93" s="74" t="s">
        <v>24</v>
      </c>
      <c r="O93" s="26" t="s">
        <v>635</v>
      </c>
    </row>
    <row r="94" spans="1:15" ht="15.75" thickBot="1">
      <c r="B94" s="103"/>
      <c r="C94" s="103"/>
      <c r="D94" s="103"/>
      <c r="E94" s="103"/>
      <c r="F94" s="103"/>
      <c r="G94" s="103"/>
      <c r="H94" s="103"/>
      <c r="I94" s="103"/>
      <c r="J94" s="103"/>
      <c r="K94" s="103"/>
    </row>
    <row r="95" spans="1:15" ht="15.75" thickBot="1">
      <c r="A95" s="53" t="s">
        <v>641</v>
      </c>
      <c r="B95" s="99">
        <f>SUMIF(wincapssstable[[FuelType]:[FuelType]],"Wind",wincapssstable[2019])</f>
        <v>1324.97</v>
      </c>
      <c r="C95" s="99">
        <f>SUMIF(wincapssstable[[FuelType]:[FuelType]],"Wind",wincapssstable[2020])</f>
        <v>1459.9699999999998</v>
      </c>
      <c r="D95" s="99">
        <f>SUMIF(wincapssstable[[FuelType]:[FuelType]],"Wind",wincapssstable[2021])</f>
        <v>1459.9699999999998</v>
      </c>
      <c r="E95" s="99">
        <f>SUMIF(wincapssstable[[FuelType]:[FuelType]],"Wind",wincapssstable[2022])</f>
        <v>1459.9699999999998</v>
      </c>
      <c r="F95" s="99">
        <f>SUMIF(wincapssstable[[FuelType]:[FuelType]],"Wind",wincapssstable[2023])</f>
        <v>1459.9699999999998</v>
      </c>
      <c r="G95" s="99">
        <f>SUMIF(wincapssstable[[FuelType]:[FuelType]],"Wind",wincapssstable[2024])</f>
        <v>1459.9699999999998</v>
      </c>
      <c r="H95" s="99">
        <f>SUMIF(wincapssstable[[FuelType]:[FuelType]],"Wind",wincapssstable[2025])</f>
        <v>1459.9699999999998</v>
      </c>
      <c r="I95" s="99">
        <f>SUMIF(wincapssstable[[FuelType]:[FuelType]],"Wind",wincapssstable[2026])</f>
        <v>1459.9699999999998</v>
      </c>
      <c r="J95" s="99">
        <f>SUMIF(wincapssstable[[FuelType]:[FuelType]],"Wind",wincapssstable[2027])</f>
        <v>1459.9699999999998</v>
      </c>
      <c r="K95" s="99">
        <f>SUMIF(wincapssstable[[FuelType]:[FuelType]],"Wind",wincapssstable[2028])</f>
        <v>1459.9699999999998</v>
      </c>
    </row>
    <row r="96" spans="1:15" ht="15.75" thickBot="1">
      <c r="A96" s="53" t="s">
        <v>642</v>
      </c>
      <c r="B96" s="99">
        <f>SUMIF(wincapssstable[[FuelType]:[FuelType]],"Solar",wincapssstable[2019])</f>
        <v>435.2</v>
      </c>
      <c r="C96" s="99">
        <f>SUMIF(wincapssstable[[FuelType]:[FuelType]],"Solar",wincapssstable[2020])</f>
        <v>520.9</v>
      </c>
      <c r="D96" s="99">
        <f>SUMIF(wincapssstable[[FuelType]:[FuelType]],"Solar",wincapssstable[2021])</f>
        <v>520.30000000000007</v>
      </c>
      <c r="E96" s="99">
        <f>SUMIF(wincapssstable[[FuelType]:[FuelType]],"Solar",wincapssstable[2022])</f>
        <v>519.70000000000005</v>
      </c>
      <c r="F96" s="99">
        <f>SUMIF(wincapssstable[[FuelType]:[FuelType]],"Solar",wincapssstable[2023])</f>
        <v>519.1</v>
      </c>
      <c r="G96" s="99">
        <f>SUMIF(wincapssstable[[FuelType]:[FuelType]],"Solar",wincapssstable[2024])</f>
        <v>518.6</v>
      </c>
      <c r="H96" s="99">
        <f>SUMIF(wincapssstable[[FuelType]:[FuelType]],"Solar",wincapssstable[2025])</f>
        <v>518.1</v>
      </c>
      <c r="I96" s="99">
        <f>SUMIF(wincapssstable[[FuelType]:[FuelType]],"Solar",wincapssstable[2026])</f>
        <v>517.6</v>
      </c>
      <c r="J96" s="99">
        <f>SUMIF(wincapssstable[[FuelType]:[FuelType]],"Solar",wincapssstable[2027])</f>
        <v>517.1</v>
      </c>
      <c r="K96" s="99">
        <f>SUMIF(wincapssstable[[FuelType]:[FuelType]],"Solar",wincapssstable[2028])</f>
        <v>516.69999999999993</v>
      </c>
    </row>
  </sheetData>
  <mergeCells count="5">
    <mergeCell ref="A43:L43"/>
    <mergeCell ref="A44:L44"/>
    <mergeCell ref="A45:L45"/>
    <mergeCell ref="A46:L46"/>
    <mergeCell ref="A42:L42"/>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91"/>
  <sheetViews>
    <sheetView workbookViewId="0"/>
  </sheetViews>
  <sheetFormatPr defaultColWidth="9.140625" defaultRowHeight="15"/>
  <cols>
    <col min="1" max="1" width="37.28515625" style="29" bestFit="1" customWidth="1"/>
    <col min="2" max="2" width="33.85546875" style="29" bestFit="1" customWidth="1"/>
    <col min="3" max="3" width="25.5703125" style="29" bestFit="1" customWidth="1"/>
    <col min="4" max="4" width="26" style="29" bestFit="1" customWidth="1"/>
    <col min="5" max="5" width="39.7109375" style="29" bestFit="1" customWidth="1"/>
    <col min="6" max="6" width="16.85546875" style="29" bestFit="1" customWidth="1"/>
    <col min="7" max="7" width="11" hidden="1" customWidth="1"/>
    <col min="8" max="8" width="19.5703125" hidden="1" customWidth="1"/>
    <col min="9" max="9" width="18" style="137" hidden="1" customWidth="1"/>
    <col min="10" max="10" width="26.85546875" hidden="1" customWidth="1"/>
    <col min="11" max="16384" width="9.140625" style="29"/>
  </cols>
  <sheetData>
    <row r="1" spans="1:10" ht="20.25" thickBot="1">
      <c r="A1" s="49" t="s">
        <v>122</v>
      </c>
      <c r="G1" s="29"/>
      <c r="H1" s="29"/>
      <c r="I1" s="90"/>
      <c r="J1" s="29"/>
    </row>
    <row r="2" spans="1:10" ht="15.75" thickBot="1">
      <c r="A2" s="68" t="s">
        <v>1</v>
      </c>
      <c r="B2" s="68" t="s">
        <v>2</v>
      </c>
      <c r="C2" s="68" t="s">
        <v>123</v>
      </c>
      <c r="D2" s="68" t="s">
        <v>3</v>
      </c>
      <c r="E2" s="68" t="s">
        <v>4</v>
      </c>
      <c r="F2" s="68" t="s">
        <v>6</v>
      </c>
      <c r="G2" s="2" t="s">
        <v>7</v>
      </c>
      <c r="H2" s="2" t="s">
        <v>254</v>
      </c>
      <c r="I2" s="2" t="s">
        <v>250</v>
      </c>
      <c r="J2" s="29"/>
    </row>
    <row r="3" spans="1:10" ht="15.75" thickBot="1">
      <c r="A3" s="19" t="s">
        <v>124</v>
      </c>
      <c r="B3" s="16" t="s">
        <v>125</v>
      </c>
      <c r="C3" s="104">
        <v>2.2999999999999998</v>
      </c>
      <c r="D3" s="16" t="s">
        <v>666</v>
      </c>
      <c r="E3" s="25" t="s">
        <v>16</v>
      </c>
      <c r="F3" s="16" t="s">
        <v>126</v>
      </c>
      <c r="G3" s="25" t="s">
        <v>24</v>
      </c>
      <c r="H3" s="16" t="s">
        <v>241</v>
      </c>
      <c r="I3" s="25" t="s">
        <v>245</v>
      </c>
      <c r="J3" s="29"/>
    </row>
    <row r="4" spans="1:10" ht="15.75" thickBot="1">
      <c r="A4" s="18" t="s">
        <v>581</v>
      </c>
      <c r="B4" s="15" t="s">
        <v>125</v>
      </c>
      <c r="C4" s="105">
        <v>1</v>
      </c>
      <c r="D4" s="15" t="s">
        <v>8</v>
      </c>
      <c r="E4" s="24" t="s">
        <v>16</v>
      </c>
      <c r="F4" s="16" t="s">
        <v>126</v>
      </c>
      <c r="G4" s="24" t="s">
        <v>24</v>
      </c>
      <c r="H4" s="15" t="s">
        <v>241</v>
      </c>
      <c r="I4" s="24" t="s">
        <v>245</v>
      </c>
      <c r="J4" s="29"/>
    </row>
    <row r="5" spans="1:10" ht="15.75" thickBot="1">
      <c r="A5" s="18" t="s">
        <v>127</v>
      </c>
      <c r="B5" s="15" t="s">
        <v>125</v>
      </c>
      <c r="C5" s="105">
        <v>0.6</v>
      </c>
      <c r="D5" s="15" t="s">
        <v>8</v>
      </c>
      <c r="E5" s="24" t="s">
        <v>16</v>
      </c>
      <c r="F5" s="16" t="s">
        <v>126</v>
      </c>
      <c r="G5" s="24" t="s">
        <v>24</v>
      </c>
      <c r="H5" s="15" t="s">
        <v>241</v>
      </c>
      <c r="I5" s="24" t="s">
        <v>245</v>
      </c>
      <c r="J5" s="29"/>
    </row>
    <row r="6" spans="1:10" ht="15.75" thickBot="1">
      <c r="A6" s="18" t="s">
        <v>128</v>
      </c>
      <c r="B6" s="15" t="s">
        <v>125</v>
      </c>
      <c r="C6" s="105">
        <v>1.2</v>
      </c>
      <c r="D6" s="15" t="s">
        <v>8</v>
      </c>
      <c r="E6" s="24" t="s">
        <v>16</v>
      </c>
      <c r="F6" s="16" t="s">
        <v>126</v>
      </c>
      <c r="G6" s="24" t="s">
        <v>24</v>
      </c>
      <c r="H6" s="15" t="s">
        <v>241</v>
      </c>
      <c r="I6" s="24" t="s">
        <v>245</v>
      </c>
      <c r="J6" s="29"/>
    </row>
    <row r="7" spans="1:10" ht="15.75" thickBot="1">
      <c r="A7" s="18" t="s">
        <v>129</v>
      </c>
      <c r="B7" s="15" t="s">
        <v>125</v>
      </c>
      <c r="C7" s="105">
        <v>0.8</v>
      </c>
      <c r="D7" s="15" t="s">
        <v>8</v>
      </c>
      <c r="E7" s="24" t="s">
        <v>16</v>
      </c>
      <c r="F7" s="16" t="s">
        <v>126</v>
      </c>
      <c r="G7" s="24" t="s">
        <v>24</v>
      </c>
      <c r="H7" s="15" t="s">
        <v>241</v>
      </c>
      <c r="I7" s="24" t="s">
        <v>245</v>
      </c>
      <c r="J7" s="29"/>
    </row>
    <row r="8" spans="1:10" ht="15.75" thickBot="1">
      <c r="A8" s="18" t="s">
        <v>130</v>
      </c>
      <c r="B8" s="15" t="s">
        <v>125</v>
      </c>
      <c r="C8" s="105">
        <v>0.4</v>
      </c>
      <c r="D8" s="15" t="s">
        <v>8</v>
      </c>
      <c r="E8" s="24" t="s">
        <v>16</v>
      </c>
      <c r="F8" s="16" t="s">
        <v>126</v>
      </c>
      <c r="G8" s="24" t="s">
        <v>24</v>
      </c>
      <c r="H8" s="15" t="s">
        <v>241</v>
      </c>
      <c r="I8" s="24" t="s">
        <v>245</v>
      </c>
      <c r="J8" s="29"/>
    </row>
    <row r="9" spans="1:10" ht="15.75" thickBot="1">
      <c r="A9" s="18" t="s">
        <v>131</v>
      </c>
      <c r="B9" s="15" t="s">
        <v>132</v>
      </c>
      <c r="C9" s="105">
        <v>1.123</v>
      </c>
      <c r="D9" s="15" t="s">
        <v>666</v>
      </c>
      <c r="E9" s="24" t="s">
        <v>133</v>
      </c>
      <c r="F9" s="16" t="s">
        <v>126</v>
      </c>
      <c r="G9" s="24" t="s">
        <v>24</v>
      </c>
      <c r="H9" s="15" t="s">
        <v>242</v>
      </c>
      <c r="I9" s="24" t="s">
        <v>245</v>
      </c>
      <c r="J9" s="29"/>
    </row>
    <row r="10" spans="1:10" ht="15.75" thickBot="1">
      <c r="A10" s="18" t="s">
        <v>134</v>
      </c>
      <c r="B10" s="15" t="s">
        <v>135</v>
      </c>
      <c r="C10" s="105">
        <v>55.62</v>
      </c>
      <c r="D10" s="15" t="s">
        <v>666</v>
      </c>
      <c r="E10" s="24" t="s">
        <v>136</v>
      </c>
      <c r="F10" s="16" t="s">
        <v>126</v>
      </c>
      <c r="G10" s="24" t="s">
        <v>24</v>
      </c>
      <c r="H10" s="15" t="s">
        <v>241</v>
      </c>
      <c r="I10" s="24" t="s">
        <v>245</v>
      </c>
      <c r="J10" s="29"/>
    </row>
    <row r="11" spans="1:10" ht="15.75" thickBot="1">
      <c r="A11" s="18" t="s">
        <v>137</v>
      </c>
      <c r="B11" s="15" t="s">
        <v>132</v>
      </c>
      <c r="C11" s="105">
        <v>1.123</v>
      </c>
      <c r="D11" s="15" t="s">
        <v>666</v>
      </c>
      <c r="E11" s="24" t="s">
        <v>133</v>
      </c>
      <c r="F11" s="16" t="s">
        <v>126</v>
      </c>
      <c r="G11" s="24" t="s">
        <v>24</v>
      </c>
      <c r="H11" s="15" t="s">
        <v>242</v>
      </c>
      <c r="I11" s="24" t="s">
        <v>245</v>
      </c>
      <c r="J11" s="29"/>
    </row>
    <row r="12" spans="1:10" ht="15.75" thickBot="1">
      <c r="A12" s="18" t="s">
        <v>582</v>
      </c>
      <c r="B12" s="15" t="s">
        <v>230</v>
      </c>
      <c r="C12" s="105">
        <v>0.22459999999999999</v>
      </c>
      <c r="D12" s="15" t="s">
        <v>583</v>
      </c>
      <c r="E12" s="24" t="s">
        <v>37</v>
      </c>
      <c r="F12" s="16" t="s">
        <v>126</v>
      </c>
      <c r="G12" s="24" t="s">
        <v>24</v>
      </c>
      <c r="H12" s="15" t="s">
        <v>37</v>
      </c>
      <c r="I12" s="24" t="s">
        <v>245</v>
      </c>
      <c r="J12" s="29"/>
    </row>
    <row r="13" spans="1:10" ht="15.75" thickBot="1">
      <c r="A13" s="18" t="s">
        <v>139</v>
      </c>
      <c r="B13" s="15" t="s">
        <v>139</v>
      </c>
      <c r="C13" s="105">
        <v>2.14</v>
      </c>
      <c r="D13" s="15" t="s">
        <v>8</v>
      </c>
      <c r="E13" s="24" t="s">
        <v>9</v>
      </c>
      <c r="F13" s="16" t="s">
        <v>126</v>
      </c>
      <c r="G13" s="24" t="s">
        <v>24</v>
      </c>
      <c r="H13" s="15" t="s">
        <v>243</v>
      </c>
      <c r="I13" s="24" t="s">
        <v>245</v>
      </c>
      <c r="J13" s="29"/>
    </row>
    <row r="14" spans="1:10" ht="15.75" thickBot="1">
      <c r="A14" s="18" t="s">
        <v>140</v>
      </c>
      <c r="B14" s="15" t="s">
        <v>141</v>
      </c>
      <c r="C14" s="105">
        <v>1.03</v>
      </c>
      <c r="D14" s="15" t="s">
        <v>666</v>
      </c>
      <c r="E14" s="24" t="s">
        <v>133</v>
      </c>
      <c r="F14" s="16" t="s">
        <v>126</v>
      </c>
      <c r="G14" s="24" t="s">
        <v>24</v>
      </c>
      <c r="H14" s="15" t="s">
        <v>242</v>
      </c>
      <c r="I14" s="24" t="s">
        <v>245</v>
      </c>
      <c r="J14" s="29"/>
    </row>
    <row r="15" spans="1:10" ht="15.75" thickBot="1">
      <c r="A15" s="18" t="s">
        <v>142</v>
      </c>
      <c r="B15" s="15" t="s">
        <v>143</v>
      </c>
      <c r="C15" s="105">
        <v>1.03</v>
      </c>
      <c r="D15" s="15" t="s">
        <v>666</v>
      </c>
      <c r="E15" s="24" t="s">
        <v>133</v>
      </c>
      <c r="F15" s="16" t="s">
        <v>126</v>
      </c>
      <c r="G15" s="24" t="s">
        <v>24</v>
      </c>
      <c r="H15" s="15" t="s">
        <v>242</v>
      </c>
      <c r="I15" s="24" t="s">
        <v>245</v>
      </c>
      <c r="J15" s="29"/>
    </row>
    <row r="16" spans="1:10" ht="15.75" thickBot="1">
      <c r="A16" s="18" t="s">
        <v>144</v>
      </c>
      <c r="B16" s="15" t="s">
        <v>125</v>
      </c>
      <c r="C16" s="105">
        <v>0.77200000000000002</v>
      </c>
      <c r="D16" s="15" t="s">
        <v>8</v>
      </c>
      <c r="E16" s="24" t="s">
        <v>16</v>
      </c>
      <c r="F16" s="16" t="s">
        <v>126</v>
      </c>
      <c r="G16" s="24" t="s">
        <v>24</v>
      </c>
      <c r="H16" s="15" t="s">
        <v>241</v>
      </c>
      <c r="I16" s="24" t="s">
        <v>245</v>
      </c>
      <c r="J16" s="29"/>
    </row>
    <row r="17" spans="1:10" ht="15.75" thickBot="1">
      <c r="A17" s="18" t="s">
        <v>145</v>
      </c>
      <c r="B17" s="15" t="s">
        <v>146</v>
      </c>
      <c r="C17" s="105">
        <v>9.9</v>
      </c>
      <c r="D17" s="15" t="s">
        <v>12</v>
      </c>
      <c r="E17" s="24" t="s">
        <v>13</v>
      </c>
      <c r="F17" s="16" t="s">
        <v>126</v>
      </c>
      <c r="G17" s="24" t="s">
        <v>24</v>
      </c>
      <c r="H17" s="15" t="s">
        <v>13</v>
      </c>
      <c r="I17" s="24" t="s">
        <v>245</v>
      </c>
      <c r="J17" s="29"/>
    </row>
    <row r="18" spans="1:10" ht="15.75" thickBot="1">
      <c r="A18" s="18" t="s">
        <v>147</v>
      </c>
      <c r="B18" s="15" t="s">
        <v>148</v>
      </c>
      <c r="C18" s="105">
        <v>68</v>
      </c>
      <c r="D18" s="15" t="s">
        <v>22</v>
      </c>
      <c r="E18" s="24" t="s">
        <v>149</v>
      </c>
      <c r="F18" s="16" t="s">
        <v>126</v>
      </c>
      <c r="G18" s="24" t="s">
        <v>24</v>
      </c>
      <c r="H18" s="15" t="s">
        <v>242</v>
      </c>
      <c r="I18" s="24" t="s">
        <v>245</v>
      </c>
      <c r="J18" s="29"/>
    </row>
    <row r="19" spans="1:10" ht="15.75" thickBot="1">
      <c r="A19" s="18" t="s">
        <v>150</v>
      </c>
      <c r="B19" s="15" t="s">
        <v>151</v>
      </c>
      <c r="C19" s="105">
        <v>50</v>
      </c>
      <c r="D19" s="15" t="s">
        <v>15</v>
      </c>
      <c r="E19" s="24" t="s">
        <v>9</v>
      </c>
      <c r="F19" s="16" t="s">
        <v>126</v>
      </c>
      <c r="G19" s="24" t="s">
        <v>24</v>
      </c>
      <c r="H19" s="15" t="s">
        <v>15</v>
      </c>
      <c r="I19" s="24" t="s">
        <v>245</v>
      </c>
      <c r="J19" s="29"/>
    </row>
    <row r="20" spans="1:10" ht="15.75" thickBot="1">
      <c r="A20" s="18" t="s">
        <v>584</v>
      </c>
      <c r="B20" s="15" t="s">
        <v>585</v>
      </c>
      <c r="C20" s="105">
        <v>5</v>
      </c>
      <c r="D20" s="15" t="s">
        <v>18</v>
      </c>
      <c r="E20" s="24" t="s">
        <v>17</v>
      </c>
      <c r="F20" s="16" t="s">
        <v>126</v>
      </c>
      <c r="G20" s="24" t="s">
        <v>24</v>
      </c>
      <c r="H20" s="15" t="s">
        <v>17</v>
      </c>
      <c r="I20" s="24" t="s">
        <v>245</v>
      </c>
      <c r="J20" s="29"/>
    </row>
    <row r="21" spans="1:10" ht="15.75" thickBot="1">
      <c r="A21" s="18" t="s">
        <v>152</v>
      </c>
      <c r="B21" s="15" t="s">
        <v>31</v>
      </c>
      <c r="C21" s="105">
        <v>19</v>
      </c>
      <c r="D21" s="15" t="s">
        <v>18</v>
      </c>
      <c r="E21" s="24" t="s">
        <v>17</v>
      </c>
      <c r="F21" s="16" t="s">
        <v>126</v>
      </c>
      <c r="G21" s="24" t="s">
        <v>24</v>
      </c>
      <c r="H21" s="15" t="s">
        <v>17</v>
      </c>
      <c r="I21" s="24" t="s">
        <v>245</v>
      </c>
      <c r="J21" s="29"/>
    </row>
    <row r="22" spans="1:10" ht="15.75" thickBot="1">
      <c r="A22" s="18" t="s">
        <v>153</v>
      </c>
      <c r="B22" s="15" t="s">
        <v>154</v>
      </c>
      <c r="C22" s="105">
        <v>27.2</v>
      </c>
      <c r="D22" s="15" t="s">
        <v>18</v>
      </c>
      <c r="E22" s="24" t="s">
        <v>17</v>
      </c>
      <c r="F22" s="16" t="s">
        <v>126</v>
      </c>
      <c r="G22" s="24" t="s">
        <v>24</v>
      </c>
      <c r="H22" s="15" t="s">
        <v>17</v>
      </c>
      <c r="I22" s="24" t="s">
        <v>245</v>
      </c>
      <c r="J22" s="29"/>
    </row>
    <row r="23" spans="1:10" ht="15.75" thickBot="1">
      <c r="A23" s="18" t="s">
        <v>155</v>
      </c>
      <c r="B23" s="15" t="s">
        <v>156</v>
      </c>
      <c r="C23" s="105">
        <v>0.70499999999999996</v>
      </c>
      <c r="D23" s="15" t="s">
        <v>36</v>
      </c>
      <c r="E23" s="24" t="s">
        <v>37</v>
      </c>
      <c r="F23" s="16" t="s">
        <v>126</v>
      </c>
      <c r="G23" s="24" t="s">
        <v>24</v>
      </c>
      <c r="H23" s="15" t="s">
        <v>37</v>
      </c>
      <c r="I23" s="24" t="s">
        <v>245</v>
      </c>
      <c r="J23" s="29"/>
    </row>
    <row r="24" spans="1:10" ht="15.75" thickBot="1">
      <c r="A24" s="18" t="s">
        <v>157</v>
      </c>
      <c r="B24" s="15" t="s">
        <v>158</v>
      </c>
      <c r="C24" s="105">
        <v>140.69999999999999</v>
      </c>
      <c r="D24" s="15" t="s">
        <v>12</v>
      </c>
      <c r="E24" s="24" t="s">
        <v>13</v>
      </c>
      <c r="F24" s="16" t="s">
        <v>126</v>
      </c>
      <c r="G24" s="24" t="s">
        <v>24</v>
      </c>
      <c r="H24" s="15" t="s">
        <v>13</v>
      </c>
      <c r="I24" s="24" t="s">
        <v>245</v>
      </c>
      <c r="J24" s="29"/>
    </row>
    <row r="25" spans="1:10" ht="15.75" thickBot="1">
      <c r="A25" s="18" t="s">
        <v>159</v>
      </c>
      <c r="B25" s="15" t="s">
        <v>160</v>
      </c>
      <c r="C25" s="105">
        <v>2.8079999999999998</v>
      </c>
      <c r="D25" s="15" t="s">
        <v>666</v>
      </c>
      <c r="E25" s="24" t="s">
        <v>16</v>
      </c>
      <c r="F25" s="16" t="s">
        <v>126</v>
      </c>
      <c r="G25" s="24" t="s">
        <v>24</v>
      </c>
      <c r="H25" s="15" t="s">
        <v>241</v>
      </c>
      <c r="I25" s="24" t="s">
        <v>245</v>
      </c>
      <c r="J25" s="29"/>
    </row>
    <row r="26" spans="1:10" ht="15.75" thickBot="1">
      <c r="A26" s="18" t="s">
        <v>586</v>
      </c>
      <c r="B26" s="15" t="s">
        <v>230</v>
      </c>
      <c r="C26" s="105">
        <v>4.7699999999999996</v>
      </c>
      <c r="D26" s="15" t="s">
        <v>583</v>
      </c>
      <c r="E26" s="24" t="s">
        <v>37</v>
      </c>
      <c r="F26" s="16" t="s">
        <v>126</v>
      </c>
      <c r="G26" s="24" t="s">
        <v>24</v>
      </c>
      <c r="H26" s="15" t="s">
        <v>37</v>
      </c>
      <c r="I26" s="24" t="s">
        <v>245</v>
      </c>
      <c r="J26" s="29"/>
    </row>
    <row r="27" spans="1:10" ht="15.75" thickBot="1">
      <c r="A27" s="18" t="s">
        <v>161</v>
      </c>
      <c r="B27" s="15" t="s">
        <v>162</v>
      </c>
      <c r="C27" s="105">
        <v>30</v>
      </c>
      <c r="D27" s="15" t="s">
        <v>22</v>
      </c>
      <c r="E27" s="24" t="s">
        <v>149</v>
      </c>
      <c r="F27" s="16" t="s">
        <v>126</v>
      </c>
      <c r="G27" s="24" t="s">
        <v>24</v>
      </c>
      <c r="H27" s="15" t="s">
        <v>242</v>
      </c>
      <c r="I27" s="24" t="s">
        <v>245</v>
      </c>
      <c r="J27" s="29"/>
    </row>
    <row r="28" spans="1:10" ht="15.75" thickBot="1">
      <c r="A28" s="18" t="s">
        <v>163</v>
      </c>
      <c r="B28" s="15" t="s">
        <v>31</v>
      </c>
      <c r="C28" s="105">
        <v>20</v>
      </c>
      <c r="D28" s="15" t="s">
        <v>18</v>
      </c>
      <c r="E28" s="24" t="s">
        <v>17</v>
      </c>
      <c r="F28" s="16" t="s">
        <v>126</v>
      </c>
      <c r="G28" s="24" t="s">
        <v>24</v>
      </c>
      <c r="H28" s="15" t="s">
        <v>17</v>
      </c>
      <c r="I28" s="24" t="s">
        <v>245</v>
      </c>
      <c r="J28" s="29"/>
    </row>
    <row r="29" spans="1:10" ht="15.75" thickBot="1">
      <c r="A29" s="18" t="s">
        <v>164</v>
      </c>
      <c r="B29" s="15" t="s">
        <v>146</v>
      </c>
      <c r="C29" s="105">
        <v>4.8</v>
      </c>
      <c r="D29" s="15" t="s">
        <v>12</v>
      </c>
      <c r="E29" s="24" t="s">
        <v>13</v>
      </c>
      <c r="F29" s="16" t="s">
        <v>126</v>
      </c>
      <c r="G29" s="24" t="s">
        <v>24</v>
      </c>
      <c r="H29" s="15" t="s">
        <v>13</v>
      </c>
      <c r="I29" s="24" t="s">
        <v>245</v>
      </c>
      <c r="J29" s="29"/>
    </row>
    <row r="30" spans="1:10" ht="15.75" thickBot="1">
      <c r="A30" s="18" t="s">
        <v>165</v>
      </c>
      <c r="B30" s="15" t="s">
        <v>166</v>
      </c>
      <c r="C30" s="105">
        <v>30</v>
      </c>
      <c r="D30" s="15" t="s">
        <v>12</v>
      </c>
      <c r="E30" s="24" t="s">
        <v>13</v>
      </c>
      <c r="F30" s="16" t="s">
        <v>126</v>
      </c>
      <c r="G30" s="24" t="s">
        <v>24</v>
      </c>
      <c r="H30" s="15" t="s">
        <v>13</v>
      </c>
      <c r="I30" s="24" t="s">
        <v>245</v>
      </c>
      <c r="J30" s="29"/>
    </row>
    <row r="31" spans="1:10" ht="15.75" thickBot="1">
      <c r="A31" s="18" t="s">
        <v>587</v>
      </c>
      <c r="B31" s="15" t="s">
        <v>230</v>
      </c>
      <c r="C31" s="105">
        <v>0.23</v>
      </c>
      <c r="D31" s="15" t="s">
        <v>583</v>
      </c>
      <c r="E31" s="24" t="s">
        <v>37</v>
      </c>
      <c r="F31" s="16" t="s">
        <v>126</v>
      </c>
      <c r="G31" s="24" t="s">
        <v>24</v>
      </c>
      <c r="H31" s="15" t="s">
        <v>37</v>
      </c>
      <c r="I31" s="24" t="s">
        <v>245</v>
      </c>
      <c r="J31" s="29"/>
    </row>
    <row r="32" spans="1:10" ht="15.75" thickBot="1">
      <c r="A32" s="18" t="s">
        <v>588</v>
      </c>
      <c r="B32" s="15" t="s">
        <v>230</v>
      </c>
      <c r="C32" s="105">
        <v>0.1</v>
      </c>
      <c r="D32" s="15" t="s">
        <v>583</v>
      </c>
      <c r="E32" s="24" t="s">
        <v>37</v>
      </c>
      <c r="F32" s="16" t="s">
        <v>126</v>
      </c>
      <c r="G32" s="24" t="s">
        <v>24</v>
      </c>
      <c r="H32" s="15" t="s">
        <v>37</v>
      </c>
      <c r="I32" s="24" t="s">
        <v>245</v>
      </c>
      <c r="J32" s="29"/>
    </row>
    <row r="33" spans="1:10" ht="15.75" thickBot="1">
      <c r="A33" s="18" t="s">
        <v>589</v>
      </c>
      <c r="B33" s="15" t="s">
        <v>230</v>
      </c>
      <c r="C33" s="105">
        <v>0.2</v>
      </c>
      <c r="D33" s="15" t="s">
        <v>583</v>
      </c>
      <c r="E33" s="24" t="s">
        <v>37</v>
      </c>
      <c r="F33" s="16" t="s">
        <v>126</v>
      </c>
      <c r="G33" s="24" t="s">
        <v>24</v>
      </c>
      <c r="H33" s="15" t="s">
        <v>37</v>
      </c>
      <c r="I33" s="24" t="s">
        <v>245</v>
      </c>
      <c r="J33" s="29"/>
    </row>
    <row r="34" spans="1:10" ht="15.75" thickBot="1">
      <c r="A34" s="18" t="s">
        <v>167</v>
      </c>
      <c r="B34" s="15" t="s">
        <v>167</v>
      </c>
      <c r="C34" s="105">
        <v>3.9</v>
      </c>
      <c r="D34" s="15" t="s">
        <v>666</v>
      </c>
      <c r="E34" s="24" t="s">
        <v>168</v>
      </c>
      <c r="F34" s="16" t="s">
        <v>126</v>
      </c>
      <c r="G34" s="24" t="s">
        <v>24</v>
      </c>
      <c r="H34" s="15" t="s">
        <v>242</v>
      </c>
      <c r="I34" s="24" t="s">
        <v>245</v>
      </c>
      <c r="J34" s="29"/>
    </row>
    <row r="35" spans="1:10" ht="15.75" thickBot="1">
      <c r="A35" s="18" t="s">
        <v>169</v>
      </c>
      <c r="B35" s="15" t="s">
        <v>143</v>
      </c>
      <c r="C35" s="105">
        <v>5.0599999999999996</v>
      </c>
      <c r="D35" s="15" t="s">
        <v>666</v>
      </c>
      <c r="E35" s="24" t="s">
        <v>133</v>
      </c>
      <c r="F35" s="16" t="s">
        <v>126</v>
      </c>
      <c r="G35" s="24" t="s">
        <v>24</v>
      </c>
      <c r="H35" s="15" t="s">
        <v>242</v>
      </c>
      <c r="I35" s="24" t="s">
        <v>245</v>
      </c>
      <c r="J35" s="29"/>
    </row>
    <row r="36" spans="1:10" ht="15.75" thickBot="1">
      <c r="A36" s="18" t="s">
        <v>170</v>
      </c>
      <c r="B36" s="15" t="s">
        <v>132</v>
      </c>
      <c r="C36" s="105">
        <v>7.8609999999999998</v>
      </c>
      <c r="D36" s="15" t="s">
        <v>666</v>
      </c>
      <c r="E36" s="24" t="s">
        <v>133</v>
      </c>
      <c r="F36" s="16" t="s">
        <v>126</v>
      </c>
      <c r="G36" s="24" t="s">
        <v>24</v>
      </c>
      <c r="H36" s="15" t="s">
        <v>242</v>
      </c>
      <c r="I36" s="24" t="s">
        <v>245</v>
      </c>
      <c r="J36" s="29"/>
    </row>
    <row r="37" spans="1:10" ht="15.75" thickBot="1">
      <c r="A37" s="18" t="s">
        <v>172</v>
      </c>
      <c r="B37" s="15" t="s">
        <v>43</v>
      </c>
      <c r="C37" s="105">
        <v>42</v>
      </c>
      <c r="D37" s="15" t="s">
        <v>15</v>
      </c>
      <c r="E37" s="24" t="s">
        <v>9</v>
      </c>
      <c r="F37" s="16" t="s">
        <v>126</v>
      </c>
      <c r="G37" s="24" t="s">
        <v>24</v>
      </c>
      <c r="H37" s="15" t="s">
        <v>15</v>
      </c>
      <c r="I37" s="24" t="s">
        <v>245</v>
      </c>
      <c r="J37" s="29"/>
    </row>
    <row r="38" spans="1:10" ht="15.75" thickBot="1">
      <c r="A38" s="18" t="s">
        <v>173</v>
      </c>
      <c r="B38" s="15" t="s">
        <v>125</v>
      </c>
      <c r="C38" s="105">
        <v>0.38600000000000001</v>
      </c>
      <c r="D38" s="15" t="s">
        <v>8</v>
      </c>
      <c r="E38" s="24" t="s">
        <v>16</v>
      </c>
      <c r="F38" s="16" t="s">
        <v>126</v>
      </c>
      <c r="G38" s="24" t="s">
        <v>24</v>
      </c>
      <c r="H38" s="15" t="s">
        <v>241</v>
      </c>
      <c r="I38" s="24" t="s">
        <v>245</v>
      </c>
      <c r="J38" s="29"/>
    </row>
    <row r="39" spans="1:10" ht="15.75" thickBot="1">
      <c r="A39" s="18" t="s">
        <v>174</v>
      </c>
      <c r="B39" s="15" t="s">
        <v>31</v>
      </c>
      <c r="C39" s="105">
        <v>5</v>
      </c>
      <c r="D39" s="15" t="s">
        <v>18</v>
      </c>
      <c r="E39" s="24" t="s">
        <v>17</v>
      </c>
      <c r="F39" s="16" t="s">
        <v>126</v>
      </c>
      <c r="G39" s="24" t="s">
        <v>24</v>
      </c>
      <c r="H39" s="15" t="s">
        <v>17</v>
      </c>
      <c r="I39" s="24" t="s">
        <v>245</v>
      </c>
      <c r="J39" s="29"/>
    </row>
    <row r="40" spans="1:10" ht="15.75" thickBot="1">
      <c r="A40" s="18" t="s">
        <v>175</v>
      </c>
      <c r="B40" s="15" t="s">
        <v>176</v>
      </c>
      <c r="C40" s="105">
        <v>13</v>
      </c>
      <c r="D40" s="15" t="s">
        <v>666</v>
      </c>
      <c r="E40" s="24" t="s">
        <v>136</v>
      </c>
      <c r="F40" s="16" t="s">
        <v>126</v>
      </c>
      <c r="G40" s="24" t="s">
        <v>24</v>
      </c>
      <c r="H40" s="15" t="s">
        <v>241</v>
      </c>
      <c r="I40" s="24" t="s">
        <v>245</v>
      </c>
      <c r="J40" s="29"/>
    </row>
    <row r="41" spans="1:10" ht="15.75" thickBot="1">
      <c r="A41" s="18" t="s">
        <v>177</v>
      </c>
      <c r="B41" s="15" t="s">
        <v>143</v>
      </c>
      <c r="C41" s="105">
        <v>1.26</v>
      </c>
      <c r="D41" s="15" t="s">
        <v>666</v>
      </c>
      <c r="E41" s="24" t="s">
        <v>133</v>
      </c>
      <c r="F41" s="16" t="s">
        <v>126</v>
      </c>
      <c r="G41" s="24" t="s">
        <v>24</v>
      </c>
      <c r="H41" s="15" t="s">
        <v>242</v>
      </c>
      <c r="I41" s="24" t="s">
        <v>245</v>
      </c>
      <c r="J41" s="29"/>
    </row>
    <row r="42" spans="1:10" ht="15.75" thickBot="1">
      <c r="A42" s="18" t="s">
        <v>178</v>
      </c>
      <c r="B42" s="15" t="s">
        <v>179</v>
      </c>
      <c r="C42" s="105">
        <v>29.99</v>
      </c>
      <c r="D42" s="15" t="s">
        <v>36</v>
      </c>
      <c r="E42" s="24" t="s">
        <v>37</v>
      </c>
      <c r="F42" s="16" t="s">
        <v>126</v>
      </c>
      <c r="G42" s="24" t="s">
        <v>24</v>
      </c>
      <c r="H42" s="15" t="s">
        <v>37</v>
      </c>
      <c r="I42" s="24" t="s">
        <v>245</v>
      </c>
      <c r="J42" s="29"/>
    </row>
    <row r="43" spans="1:10" ht="15.75" thickBot="1">
      <c r="A43" s="18" t="s">
        <v>180</v>
      </c>
      <c r="B43" s="15" t="s">
        <v>143</v>
      </c>
      <c r="C43" s="105">
        <v>2.2999999999999998</v>
      </c>
      <c r="D43" s="15" t="s">
        <v>666</v>
      </c>
      <c r="E43" s="24" t="s">
        <v>133</v>
      </c>
      <c r="F43" s="16" t="s">
        <v>126</v>
      </c>
      <c r="G43" s="24" t="s">
        <v>24</v>
      </c>
      <c r="H43" s="15" t="s">
        <v>242</v>
      </c>
      <c r="I43" s="24" t="s">
        <v>245</v>
      </c>
      <c r="J43" s="29"/>
    </row>
    <row r="44" spans="1:10" ht="15.75" thickBot="1">
      <c r="A44" s="18" t="s">
        <v>181</v>
      </c>
      <c r="B44" s="15" t="s">
        <v>26</v>
      </c>
      <c r="C44" s="105">
        <v>1.1000000000000001</v>
      </c>
      <c r="D44" s="15" t="s">
        <v>18</v>
      </c>
      <c r="E44" s="24" t="s">
        <v>17</v>
      </c>
      <c r="F44" s="16" t="s">
        <v>126</v>
      </c>
      <c r="G44" s="24" t="s">
        <v>24</v>
      </c>
      <c r="H44" s="15" t="s">
        <v>17</v>
      </c>
      <c r="I44" s="24" t="s">
        <v>245</v>
      </c>
      <c r="J44" s="29"/>
    </row>
    <row r="45" spans="1:10" ht="15.75" thickBot="1">
      <c r="A45" s="18" t="s">
        <v>182</v>
      </c>
      <c r="B45" s="15" t="s">
        <v>26</v>
      </c>
      <c r="C45" s="105">
        <v>14.4</v>
      </c>
      <c r="D45" s="15" t="s">
        <v>18</v>
      </c>
      <c r="E45" s="24" t="s">
        <v>17</v>
      </c>
      <c r="F45" s="16" t="s">
        <v>126</v>
      </c>
      <c r="G45" s="24" t="s">
        <v>24</v>
      </c>
      <c r="H45" s="15" t="s">
        <v>17</v>
      </c>
      <c r="I45" s="24" t="s">
        <v>245</v>
      </c>
      <c r="J45" s="29"/>
    </row>
    <row r="46" spans="1:10" ht="15.75" thickBot="1">
      <c r="A46" s="18" t="s">
        <v>183</v>
      </c>
      <c r="B46" s="15" t="s">
        <v>55</v>
      </c>
      <c r="C46" s="105">
        <v>7.2</v>
      </c>
      <c r="D46" s="15" t="s">
        <v>18</v>
      </c>
      <c r="E46" s="24" t="s">
        <v>17</v>
      </c>
      <c r="F46" s="16" t="s">
        <v>126</v>
      </c>
      <c r="G46" s="24" t="s">
        <v>24</v>
      </c>
      <c r="H46" s="15" t="s">
        <v>17</v>
      </c>
      <c r="I46" s="24" t="s">
        <v>245</v>
      </c>
      <c r="J46" s="29"/>
    </row>
    <row r="47" spans="1:10" ht="15.75" thickBot="1">
      <c r="A47" s="18" t="s">
        <v>590</v>
      </c>
      <c r="B47" s="15" t="s">
        <v>230</v>
      </c>
      <c r="C47" s="105">
        <v>7.8799999999999995E-2</v>
      </c>
      <c r="D47" s="15" t="s">
        <v>583</v>
      </c>
      <c r="E47" s="24" t="s">
        <v>37</v>
      </c>
      <c r="F47" s="16" t="s">
        <v>126</v>
      </c>
      <c r="G47" s="24" t="s">
        <v>24</v>
      </c>
      <c r="H47" s="15" t="s">
        <v>37</v>
      </c>
      <c r="I47" s="24" t="s">
        <v>245</v>
      </c>
      <c r="J47" s="29"/>
    </row>
    <row r="48" spans="1:10" ht="15.75" thickBot="1">
      <c r="A48" s="18" t="s">
        <v>184</v>
      </c>
      <c r="B48" s="15" t="s">
        <v>143</v>
      </c>
      <c r="C48" s="105">
        <v>17.25</v>
      </c>
      <c r="D48" s="15" t="s">
        <v>666</v>
      </c>
      <c r="E48" s="24" t="s">
        <v>133</v>
      </c>
      <c r="F48" s="16" t="s">
        <v>126</v>
      </c>
      <c r="G48" s="24" t="s">
        <v>24</v>
      </c>
      <c r="H48" s="15" t="s">
        <v>242</v>
      </c>
      <c r="I48" s="24" t="s">
        <v>245</v>
      </c>
      <c r="J48" s="29"/>
    </row>
    <row r="49" spans="1:10" ht="15.75" thickBot="1">
      <c r="A49" s="18" t="s">
        <v>185</v>
      </c>
      <c r="B49" s="15" t="s">
        <v>143</v>
      </c>
      <c r="C49" s="105">
        <v>5.39</v>
      </c>
      <c r="D49" s="15" t="s">
        <v>666</v>
      </c>
      <c r="E49" s="24" t="s">
        <v>133</v>
      </c>
      <c r="F49" s="16" t="s">
        <v>126</v>
      </c>
      <c r="G49" s="24" t="s">
        <v>24</v>
      </c>
      <c r="H49" s="15" t="s">
        <v>242</v>
      </c>
      <c r="I49" s="24" t="s">
        <v>245</v>
      </c>
      <c r="J49" s="29"/>
    </row>
    <row r="50" spans="1:10" ht="15.75" thickBot="1">
      <c r="A50" s="18" t="s">
        <v>186</v>
      </c>
      <c r="B50" s="15" t="s">
        <v>187</v>
      </c>
      <c r="C50" s="105">
        <v>2.2999999999999998</v>
      </c>
      <c r="D50" s="15" t="s">
        <v>38</v>
      </c>
      <c r="E50" s="24" t="s">
        <v>37</v>
      </c>
      <c r="F50" s="16" t="s">
        <v>126</v>
      </c>
      <c r="G50" s="24" t="s">
        <v>24</v>
      </c>
      <c r="H50" s="15" t="s">
        <v>37</v>
      </c>
      <c r="I50" s="24" t="s">
        <v>245</v>
      </c>
      <c r="J50" s="29"/>
    </row>
    <row r="51" spans="1:10" ht="15.75" thickBot="1">
      <c r="A51" s="18" t="s">
        <v>188</v>
      </c>
      <c r="B51" s="15" t="s">
        <v>141</v>
      </c>
      <c r="C51" s="105">
        <v>4.5999999999999996</v>
      </c>
      <c r="D51" s="15" t="s">
        <v>666</v>
      </c>
      <c r="E51" s="24" t="s">
        <v>133</v>
      </c>
      <c r="F51" s="16" t="s">
        <v>126</v>
      </c>
      <c r="G51" s="24" t="s">
        <v>24</v>
      </c>
      <c r="H51" s="15" t="s">
        <v>242</v>
      </c>
      <c r="I51" s="24" t="s">
        <v>245</v>
      </c>
      <c r="J51" s="29"/>
    </row>
    <row r="52" spans="1:10" ht="15.75" thickBot="1">
      <c r="A52" s="18" t="s">
        <v>189</v>
      </c>
      <c r="B52" s="15" t="s">
        <v>190</v>
      </c>
      <c r="C52" s="105">
        <v>12.85</v>
      </c>
      <c r="D52" s="15" t="s">
        <v>36</v>
      </c>
      <c r="E52" s="24" t="s">
        <v>37</v>
      </c>
      <c r="F52" s="16" t="s">
        <v>126</v>
      </c>
      <c r="G52" s="24" t="s">
        <v>24</v>
      </c>
      <c r="H52" s="15" t="s">
        <v>37</v>
      </c>
      <c r="I52" s="24" t="s">
        <v>245</v>
      </c>
      <c r="J52" s="29"/>
    </row>
    <row r="53" spans="1:10" ht="15.75" thickBot="1">
      <c r="A53" s="18" t="s">
        <v>191</v>
      </c>
      <c r="B53" s="15" t="s">
        <v>192</v>
      </c>
      <c r="C53" s="105">
        <v>9.1999999999999993</v>
      </c>
      <c r="D53" s="15" t="s">
        <v>36</v>
      </c>
      <c r="E53" s="24" t="s">
        <v>37</v>
      </c>
      <c r="F53" s="16" t="s">
        <v>126</v>
      </c>
      <c r="G53" s="24" t="s">
        <v>24</v>
      </c>
      <c r="H53" s="15" t="s">
        <v>37</v>
      </c>
      <c r="I53" s="24" t="s">
        <v>245</v>
      </c>
      <c r="J53" s="29"/>
    </row>
    <row r="54" spans="1:10" ht="15.75" thickBot="1">
      <c r="A54" s="18" t="s">
        <v>193</v>
      </c>
      <c r="B54" s="15" t="s">
        <v>194</v>
      </c>
      <c r="C54" s="105">
        <v>3.2</v>
      </c>
      <c r="D54" s="15" t="s">
        <v>8</v>
      </c>
      <c r="E54" s="24" t="s">
        <v>9</v>
      </c>
      <c r="F54" s="16" t="s">
        <v>126</v>
      </c>
      <c r="G54" s="24" t="s">
        <v>24</v>
      </c>
      <c r="H54" s="15" t="s">
        <v>243</v>
      </c>
      <c r="I54" s="24" t="s">
        <v>245</v>
      </c>
      <c r="J54" s="29"/>
    </row>
    <row r="55" spans="1:10" ht="15.75" thickBot="1">
      <c r="A55" s="18" t="s">
        <v>591</v>
      </c>
      <c r="B55" s="15" t="s">
        <v>230</v>
      </c>
      <c r="C55" s="105">
        <v>0.1074</v>
      </c>
      <c r="D55" s="15" t="s">
        <v>583</v>
      </c>
      <c r="E55" s="24" t="s">
        <v>37</v>
      </c>
      <c r="F55" s="16" t="s">
        <v>126</v>
      </c>
      <c r="G55" s="24" t="s">
        <v>24</v>
      </c>
      <c r="H55" s="15" t="s">
        <v>37</v>
      </c>
      <c r="I55" s="24" t="s">
        <v>245</v>
      </c>
      <c r="J55" s="29"/>
    </row>
    <row r="56" spans="1:10" ht="15.75" thickBot="1">
      <c r="A56" s="18" t="s">
        <v>592</v>
      </c>
      <c r="B56" s="15" t="s">
        <v>230</v>
      </c>
      <c r="C56" s="105">
        <v>0.1074</v>
      </c>
      <c r="D56" s="15" t="s">
        <v>583</v>
      </c>
      <c r="E56" s="24" t="s">
        <v>37</v>
      </c>
      <c r="F56" s="16" t="s">
        <v>126</v>
      </c>
      <c r="G56" s="24" t="s">
        <v>24</v>
      </c>
      <c r="H56" s="15" t="s">
        <v>37</v>
      </c>
      <c r="I56" s="24" t="s">
        <v>245</v>
      </c>
      <c r="J56" s="29"/>
    </row>
    <row r="57" spans="1:10" ht="15.75" thickBot="1">
      <c r="A57" s="18" t="s">
        <v>593</v>
      </c>
      <c r="B57" s="15" t="s">
        <v>230</v>
      </c>
      <c r="C57" s="105">
        <v>0.19989999999999999</v>
      </c>
      <c r="D57" s="15" t="s">
        <v>583</v>
      </c>
      <c r="E57" s="24" t="s">
        <v>37</v>
      </c>
      <c r="F57" s="16" t="s">
        <v>126</v>
      </c>
      <c r="G57" s="24" t="s">
        <v>24</v>
      </c>
      <c r="H57" s="15" t="s">
        <v>37</v>
      </c>
      <c r="I57" s="24" t="s">
        <v>245</v>
      </c>
      <c r="J57" s="29"/>
    </row>
    <row r="58" spans="1:10" ht="15.75" thickBot="1">
      <c r="A58" s="18" t="s">
        <v>195</v>
      </c>
      <c r="B58" s="15" t="s">
        <v>31</v>
      </c>
      <c r="C58" s="105">
        <v>5.7</v>
      </c>
      <c r="D58" s="15" t="s">
        <v>18</v>
      </c>
      <c r="E58" s="24" t="s">
        <v>17</v>
      </c>
      <c r="F58" s="16" t="s">
        <v>126</v>
      </c>
      <c r="G58" s="24" t="s">
        <v>24</v>
      </c>
      <c r="H58" s="15" t="s">
        <v>17</v>
      </c>
      <c r="I58" s="24" t="s">
        <v>245</v>
      </c>
      <c r="J58" s="29"/>
    </row>
    <row r="59" spans="1:10" ht="15.75" thickBot="1">
      <c r="A59" s="18" t="s">
        <v>594</v>
      </c>
      <c r="B59" s="15" t="s">
        <v>230</v>
      </c>
      <c r="C59" s="105">
        <v>0.35880000000000001</v>
      </c>
      <c r="D59" s="15" t="s">
        <v>583</v>
      </c>
      <c r="E59" s="24" t="s">
        <v>37</v>
      </c>
      <c r="F59" s="16" t="s">
        <v>126</v>
      </c>
      <c r="G59" s="24" t="s">
        <v>24</v>
      </c>
      <c r="H59" s="15" t="s">
        <v>37</v>
      </c>
      <c r="I59" s="24" t="s">
        <v>245</v>
      </c>
      <c r="J59" s="29"/>
    </row>
    <row r="60" spans="1:10" ht="15.75" thickBot="1">
      <c r="A60" s="18" t="s">
        <v>595</v>
      </c>
      <c r="B60" s="15" t="s">
        <v>230</v>
      </c>
      <c r="C60" s="105">
        <v>0.35670000000000002</v>
      </c>
      <c r="D60" s="15" t="s">
        <v>583</v>
      </c>
      <c r="E60" s="24" t="s">
        <v>37</v>
      </c>
      <c r="F60" s="16" t="s">
        <v>126</v>
      </c>
      <c r="G60" s="24" t="s">
        <v>24</v>
      </c>
      <c r="H60" s="15" t="s">
        <v>37</v>
      </c>
      <c r="I60" s="24" t="s">
        <v>245</v>
      </c>
      <c r="J60" s="29"/>
    </row>
    <row r="61" spans="1:10" ht="15.75" thickBot="1">
      <c r="A61" s="18" t="s">
        <v>596</v>
      </c>
      <c r="B61" s="15" t="s">
        <v>230</v>
      </c>
      <c r="C61" s="105">
        <v>0.24990000000000001</v>
      </c>
      <c r="D61" s="15" t="s">
        <v>583</v>
      </c>
      <c r="E61" s="24" t="s">
        <v>37</v>
      </c>
      <c r="F61" s="16" t="s">
        <v>126</v>
      </c>
      <c r="G61" s="24" t="s">
        <v>24</v>
      </c>
      <c r="H61" s="15" t="s">
        <v>37</v>
      </c>
      <c r="I61" s="24" t="s">
        <v>245</v>
      </c>
      <c r="J61" s="29"/>
    </row>
    <row r="62" spans="1:10" ht="15.75" thickBot="1">
      <c r="A62" s="18" t="s">
        <v>597</v>
      </c>
      <c r="B62" s="15" t="s">
        <v>230</v>
      </c>
      <c r="C62" s="105">
        <v>1.2110000000000001</v>
      </c>
      <c r="D62" s="15" t="s">
        <v>583</v>
      </c>
      <c r="E62" s="24" t="s">
        <v>37</v>
      </c>
      <c r="F62" s="16" t="s">
        <v>126</v>
      </c>
      <c r="G62" s="24" t="s">
        <v>24</v>
      </c>
      <c r="H62" s="15" t="s">
        <v>37</v>
      </c>
      <c r="I62" s="24" t="s">
        <v>245</v>
      </c>
      <c r="J62" s="29"/>
    </row>
    <row r="63" spans="1:10" ht="15.75" thickBot="1">
      <c r="A63" s="18" t="s">
        <v>196</v>
      </c>
      <c r="B63" s="15" t="s">
        <v>197</v>
      </c>
      <c r="C63" s="105">
        <v>20</v>
      </c>
      <c r="D63" s="15" t="s">
        <v>36</v>
      </c>
      <c r="E63" s="24" t="s">
        <v>37</v>
      </c>
      <c r="F63" s="16" t="s">
        <v>126</v>
      </c>
      <c r="G63" s="24" t="s">
        <v>24</v>
      </c>
      <c r="H63" s="15" t="s">
        <v>37</v>
      </c>
      <c r="I63" s="24" t="s">
        <v>245</v>
      </c>
      <c r="J63" s="29"/>
    </row>
    <row r="64" spans="1:10" ht="15.75" thickBot="1">
      <c r="A64" s="18" t="s">
        <v>198</v>
      </c>
      <c r="B64" s="15" t="s">
        <v>192</v>
      </c>
      <c r="C64" s="105">
        <v>14.5</v>
      </c>
      <c r="D64" s="15" t="s">
        <v>36</v>
      </c>
      <c r="E64" s="24" t="s">
        <v>37</v>
      </c>
      <c r="F64" s="16" t="s">
        <v>126</v>
      </c>
      <c r="G64" s="24" t="s">
        <v>24</v>
      </c>
      <c r="H64" s="15" t="s">
        <v>37</v>
      </c>
      <c r="I64" s="24" t="s">
        <v>245</v>
      </c>
      <c r="J64" s="29"/>
    </row>
    <row r="65" spans="1:10" ht="15.75" thickBot="1">
      <c r="A65" s="18" t="s">
        <v>199</v>
      </c>
      <c r="B65" s="15" t="s">
        <v>199</v>
      </c>
      <c r="C65" s="105">
        <v>1.48</v>
      </c>
      <c r="D65" s="15" t="s">
        <v>8</v>
      </c>
      <c r="E65" s="24" t="s">
        <v>9</v>
      </c>
      <c r="F65" s="16" t="s">
        <v>126</v>
      </c>
      <c r="G65" s="24" t="s">
        <v>24</v>
      </c>
      <c r="H65" s="15" t="s">
        <v>243</v>
      </c>
      <c r="I65" s="24" t="s">
        <v>245</v>
      </c>
      <c r="J65" s="29"/>
    </row>
    <row r="66" spans="1:10" ht="15.75" thickBot="1">
      <c r="A66" s="18" t="s">
        <v>598</v>
      </c>
      <c r="B66" s="15" t="s">
        <v>230</v>
      </c>
      <c r="C66" s="105">
        <v>0.92479999999999996</v>
      </c>
      <c r="D66" s="15" t="s">
        <v>583</v>
      </c>
      <c r="E66" s="24" t="s">
        <v>37</v>
      </c>
      <c r="F66" s="16" t="s">
        <v>126</v>
      </c>
      <c r="G66" s="24" t="s">
        <v>24</v>
      </c>
      <c r="H66" s="15" t="s">
        <v>37</v>
      </c>
      <c r="I66" s="24" t="s">
        <v>245</v>
      </c>
      <c r="J66" s="29"/>
    </row>
    <row r="67" spans="1:10" ht="15.75" thickBot="1">
      <c r="A67" s="18" t="s">
        <v>200</v>
      </c>
      <c r="B67" s="15" t="s">
        <v>132</v>
      </c>
      <c r="C67" s="105">
        <v>2.246</v>
      </c>
      <c r="D67" s="15" t="s">
        <v>666</v>
      </c>
      <c r="E67" s="24" t="s">
        <v>133</v>
      </c>
      <c r="F67" s="16" t="s">
        <v>126</v>
      </c>
      <c r="G67" s="24" t="s">
        <v>24</v>
      </c>
      <c r="H67" s="15" t="s">
        <v>242</v>
      </c>
      <c r="I67" s="24" t="s">
        <v>245</v>
      </c>
      <c r="J67" s="29"/>
    </row>
    <row r="68" spans="1:10" ht="15.75" thickBot="1">
      <c r="A68" s="18" t="s">
        <v>201</v>
      </c>
      <c r="B68" s="15" t="s">
        <v>202</v>
      </c>
      <c r="C68" s="105">
        <v>7.3</v>
      </c>
      <c r="D68" s="15" t="s">
        <v>666</v>
      </c>
      <c r="E68" s="24" t="s">
        <v>136</v>
      </c>
      <c r="F68" s="16" t="s">
        <v>126</v>
      </c>
      <c r="G68" s="24" t="s">
        <v>24</v>
      </c>
      <c r="H68" s="15" t="s">
        <v>241</v>
      </c>
      <c r="I68" s="24" t="s">
        <v>245</v>
      </c>
      <c r="J68" s="29"/>
    </row>
    <row r="69" spans="1:10" ht="15.75" thickBot="1">
      <c r="A69" s="18" t="s">
        <v>599</v>
      </c>
      <c r="B69" s="15" t="s">
        <v>230</v>
      </c>
      <c r="C69" s="105">
        <v>0.99760000000000004</v>
      </c>
      <c r="D69" s="15" t="s">
        <v>583</v>
      </c>
      <c r="E69" s="24" t="s">
        <v>37</v>
      </c>
      <c r="F69" s="16" t="s">
        <v>126</v>
      </c>
      <c r="G69" s="24" t="s">
        <v>24</v>
      </c>
      <c r="H69" s="15" t="s">
        <v>37</v>
      </c>
      <c r="I69" s="24" t="s">
        <v>245</v>
      </c>
      <c r="J69" s="29"/>
    </row>
    <row r="70" spans="1:10" ht="15.75" thickBot="1">
      <c r="A70" s="18" t="s">
        <v>203</v>
      </c>
      <c r="B70" s="15" t="s">
        <v>204</v>
      </c>
      <c r="C70" s="105">
        <v>3.11</v>
      </c>
      <c r="D70" s="15" t="s">
        <v>666</v>
      </c>
      <c r="E70" s="24" t="s">
        <v>136</v>
      </c>
      <c r="F70" s="16" t="s">
        <v>126</v>
      </c>
      <c r="G70" s="24" t="s">
        <v>24</v>
      </c>
      <c r="H70" s="15" t="s">
        <v>241</v>
      </c>
      <c r="I70" s="24" t="s">
        <v>245</v>
      </c>
      <c r="J70" s="29"/>
    </row>
    <row r="71" spans="1:10" ht="15.75" thickBot="1">
      <c r="A71" s="18" t="s">
        <v>205</v>
      </c>
      <c r="B71" s="15" t="s">
        <v>171</v>
      </c>
      <c r="C71" s="105">
        <v>2.5</v>
      </c>
      <c r="D71" s="15" t="s">
        <v>18</v>
      </c>
      <c r="E71" s="24" t="s">
        <v>17</v>
      </c>
      <c r="F71" s="16" t="s">
        <v>126</v>
      </c>
      <c r="G71" s="24" t="s">
        <v>24</v>
      </c>
      <c r="H71" s="15" t="s">
        <v>17</v>
      </c>
      <c r="I71" s="24" t="s">
        <v>245</v>
      </c>
      <c r="J71" s="29"/>
    </row>
    <row r="72" spans="1:10" ht="15.75" thickBot="1">
      <c r="A72" s="18" t="s">
        <v>600</v>
      </c>
      <c r="B72" s="15" t="s">
        <v>230</v>
      </c>
      <c r="C72" s="105">
        <v>1.7690999999999999</v>
      </c>
      <c r="D72" s="15" t="s">
        <v>583</v>
      </c>
      <c r="E72" s="24" t="s">
        <v>37</v>
      </c>
      <c r="F72" s="16" t="s">
        <v>126</v>
      </c>
      <c r="G72" s="24" t="s">
        <v>24</v>
      </c>
      <c r="H72" s="15" t="s">
        <v>37</v>
      </c>
      <c r="I72" s="24" t="s">
        <v>245</v>
      </c>
      <c r="J72" s="29"/>
    </row>
    <row r="73" spans="1:10" ht="15.75" thickBot="1">
      <c r="A73" s="18" t="s">
        <v>601</v>
      </c>
      <c r="B73" s="15" t="s">
        <v>230</v>
      </c>
      <c r="C73" s="105">
        <v>0.79500000000000004</v>
      </c>
      <c r="D73" s="15" t="s">
        <v>583</v>
      </c>
      <c r="E73" s="24" t="s">
        <v>37</v>
      </c>
      <c r="F73" s="16" t="s">
        <v>126</v>
      </c>
      <c r="G73" s="24" t="s">
        <v>24</v>
      </c>
      <c r="H73" s="15" t="s">
        <v>37</v>
      </c>
      <c r="I73" s="24" t="s">
        <v>245</v>
      </c>
      <c r="J73" s="29"/>
    </row>
    <row r="74" spans="1:10" ht="15.75" thickBot="1">
      <c r="A74" s="18" t="s">
        <v>602</v>
      </c>
      <c r="B74" s="15" t="s">
        <v>230</v>
      </c>
      <c r="C74" s="105">
        <v>0.32040000000000002</v>
      </c>
      <c r="D74" s="15" t="s">
        <v>583</v>
      </c>
      <c r="E74" s="24" t="s">
        <v>37</v>
      </c>
      <c r="F74" s="16" t="s">
        <v>126</v>
      </c>
      <c r="G74" s="24" t="s">
        <v>24</v>
      </c>
      <c r="H74" s="15" t="s">
        <v>37</v>
      </c>
      <c r="I74" s="24" t="s">
        <v>245</v>
      </c>
      <c r="J74" s="29"/>
    </row>
    <row r="75" spans="1:10" ht="15.75" thickBot="1">
      <c r="A75" s="18" t="s">
        <v>603</v>
      </c>
      <c r="B75" s="15" t="s">
        <v>230</v>
      </c>
      <c r="C75" s="105">
        <v>0.13020000000000001</v>
      </c>
      <c r="D75" s="15" t="s">
        <v>583</v>
      </c>
      <c r="E75" s="24" t="s">
        <v>37</v>
      </c>
      <c r="F75" s="16" t="s">
        <v>126</v>
      </c>
      <c r="G75" s="24" t="s">
        <v>24</v>
      </c>
      <c r="H75" s="15" t="s">
        <v>37</v>
      </c>
      <c r="I75" s="24" t="s">
        <v>245</v>
      </c>
      <c r="J75" s="29"/>
    </row>
    <row r="76" spans="1:10" ht="15.75" thickBot="1">
      <c r="A76" s="18" t="s">
        <v>604</v>
      </c>
      <c r="B76" s="15" t="s">
        <v>230</v>
      </c>
      <c r="C76" s="105">
        <v>0.28010000000000002</v>
      </c>
      <c r="D76" s="15" t="s">
        <v>583</v>
      </c>
      <c r="E76" s="24" t="s">
        <v>37</v>
      </c>
      <c r="F76" s="16" t="s">
        <v>126</v>
      </c>
      <c r="G76" s="24" t="s">
        <v>24</v>
      </c>
      <c r="H76" s="15" t="s">
        <v>37</v>
      </c>
      <c r="I76" s="24" t="s">
        <v>245</v>
      </c>
      <c r="J76" s="29"/>
    </row>
    <row r="77" spans="1:10" ht="15.75" thickBot="1">
      <c r="A77" s="18" t="s">
        <v>206</v>
      </c>
      <c r="B77" s="15" t="s">
        <v>135</v>
      </c>
      <c r="C77" s="105">
        <v>41.2</v>
      </c>
      <c r="D77" s="15" t="s">
        <v>666</v>
      </c>
      <c r="E77" s="24" t="s">
        <v>136</v>
      </c>
      <c r="F77" s="16" t="s">
        <v>126</v>
      </c>
      <c r="G77" s="24" t="s">
        <v>24</v>
      </c>
      <c r="H77" s="15" t="s">
        <v>241</v>
      </c>
      <c r="I77" s="24" t="s">
        <v>245</v>
      </c>
      <c r="J77" s="29"/>
    </row>
    <row r="78" spans="1:10" ht="15.75" thickBot="1">
      <c r="A78" s="18" t="s">
        <v>207</v>
      </c>
      <c r="B78" s="15" t="s">
        <v>125</v>
      </c>
      <c r="C78" s="105">
        <v>0.77200000000000002</v>
      </c>
      <c r="D78" s="15" t="s">
        <v>8</v>
      </c>
      <c r="E78" s="24" t="s">
        <v>16</v>
      </c>
      <c r="F78" s="16" t="s">
        <v>126</v>
      </c>
      <c r="G78" s="24" t="s">
        <v>24</v>
      </c>
      <c r="H78" s="15" t="s">
        <v>241</v>
      </c>
      <c r="I78" s="24" t="s">
        <v>245</v>
      </c>
      <c r="J78" s="29"/>
    </row>
    <row r="79" spans="1:10" ht="15.75" thickBot="1">
      <c r="A79" s="18" t="s">
        <v>208</v>
      </c>
      <c r="B79" s="15" t="s">
        <v>209</v>
      </c>
      <c r="C79" s="105">
        <v>50</v>
      </c>
      <c r="D79" s="15" t="s">
        <v>18</v>
      </c>
      <c r="E79" s="24" t="s">
        <v>17</v>
      </c>
      <c r="F79" s="16" t="s">
        <v>126</v>
      </c>
      <c r="G79" s="24" t="s">
        <v>24</v>
      </c>
      <c r="H79" s="15" t="s">
        <v>17</v>
      </c>
      <c r="I79" s="24" t="s">
        <v>245</v>
      </c>
      <c r="J79" s="29"/>
    </row>
    <row r="80" spans="1:10" ht="15.75" thickBot="1">
      <c r="A80" s="18" t="s">
        <v>210</v>
      </c>
      <c r="B80" s="15" t="s">
        <v>211</v>
      </c>
      <c r="C80" s="105">
        <v>0.99</v>
      </c>
      <c r="D80" s="15" t="s">
        <v>8</v>
      </c>
      <c r="E80" s="24" t="s">
        <v>9</v>
      </c>
      <c r="F80" s="16" t="s">
        <v>126</v>
      </c>
      <c r="G80" s="24" t="s">
        <v>24</v>
      </c>
      <c r="H80" s="15" t="s">
        <v>243</v>
      </c>
      <c r="I80" s="24" t="s">
        <v>245</v>
      </c>
      <c r="J80" s="29"/>
    </row>
    <row r="81" spans="1:10" ht="15.75" thickBot="1">
      <c r="A81" s="18" t="s">
        <v>212</v>
      </c>
      <c r="B81" s="15" t="s">
        <v>31</v>
      </c>
      <c r="C81" s="105">
        <v>1</v>
      </c>
      <c r="D81" s="15" t="s">
        <v>666</v>
      </c>
      <c r="E81" s="24" t="s">
        <v>133</v>
      </c>
      <c r="F81" s="16" t="s">
        <v>126</v>
      </c>
      <c r="G81" s="24" t="s">
        <v>24</v>
      </c>
      <c r="H81" s="15" t="s">
        <v>242</v>
      </c>
      <c r="I81" s="24" t="s">
        <v>245</v>
      </c>
      <c r="J81" s="29"/>
    </row>
    <row r="82" spans="1:10" ht="15.75" thickBot="1">
      <c r="A82" s="18" t="s">
        <v>213</v>
      </c>
      <c r="B82" s="15" t="s">
        <v>213</v>
      </c>
      <c r="C82" s="105">
        <v>1.32</v>
      </c>
      <c r="D82" s="15" t="s">
        <v>8</v>
      </c>
      <c r="E82" s="24" t="s">
        <v>9</v>
      </c>
      <c r="F82" s="16" t="s">
        <v>126</v>
      </c>
      <c r="G82" s="24" t="s">
        <v>24</v>
      </c>
      <c r="H82" s="15" t="s">
        <v>243</v>
      </c>
      <c r="I82" s="24" t="s">
        <v>245</v>
      </c>
      <c r="J82" s="29"/>
    </row>
    <row r="83" spans="1:10" ht="15.75" thickBot="1">
      <c r="A83" s="18" t="s">
        <v>214</v>
      </c>
      <c r="B83" s="15" t="s">
        <v>215</v>
      </c>
      <c r="C83" s="105">
        <v>10</v>
      </c>
      <c r="D83" s="15" t="s">
        <v>666</v>
      </c>
      <c r="E83" s="24" t="s">
        <v>32</v>
      </c>
      <c r="F83" s="16" t="s">
        <v>126</v>
      </c>
      <c r="G83" s="24" t="s">
        <v>24</v>
      </c>
      <c r="H83" s="15" t="s">
        <v>241</v>
      </c>
      <c r="I83" s="24" t="s">
        <v>245</v>
      </c>
      <c r="J83" s="29"/>
    </row>
    <row r="84" spans="1:10" ht="15.75" thickBot="1">
      <c r="A84" s="18" t="s">
        <v>216</v>
      </c>
      <c r="B84" s="15" t="s">
        <v>215</v>
      </c>
      <c r="C84" s="105">
        <v>6</v>
      </c>
      <c r="D84" s="15" t="s">
        <v>666</v>
      </c>
      <c r="E84" s="24" t="s">
        <v>32</v>
      </c>
      <c r="F84" s="16" t="s">
        <v>126</v>
      </c>
      <c r="G84" s="24" t="s">
        <v>24</v>
      </c>
      <c r="H84" s="15" t="s">
        <v>241</v>
      </c>
      <c r="I84" s="24" t="s">
        <v>245</v>
      </c>
      <c r="J84" s="29"/>
    </row>
    <row r="85" spans="1:10" ht="15.75" thickBot="1">
      <c r="A85" s="18" t="s">
        <v>217</v>
      </c>
      <c r="B85" s="15" t="s">
        <v>218</v>
      </c>
      <c r="C85" s="105">
        <v>7.5659999999999998</v>
      </c>
      <c r="D85" s="15" t="s">
        <v>36</v>
      </c>
      <c r="E85" s="24" t="s">
        <v>37</v>
      </c>
      <c r="F85" s="16" t="s">
        <v>126</v>
      </c>
      <c r="G85" s="24" t="s">
        <v>24</v>
      </c>
      <c r="H85" s="15" t="s">
        <v>37</v>
      </c>
      <c r="I85" s="24" t="s">
        <v>245</v>
      </c>
      <c r="J85" s="29"/>
    </row>
    <row r="86" spans="1:10" ht="15.75" thickBot="1">
      <c r="A86" s="18" t="s">
        <v>219</v>
      </c>
      <c r="B86" s="15" t="s">
        <v>220</v>
      </c>
      <c r="C86" s="105">
        <v>7.4550000000000001</v>
      </c>
      <c r="D86" s="15" t="s">
        <v>666</v>
      </c>
      <c r="E86" s="24" t="s">
        <v>133</v>
      </c>
      <c r="F86" s="16" t="s">
        <v>126</v>
      </c>
      <c r="G86" s="24" t="s">
        <v>24</v>
      </c>
      <c r="H86" s="15" t="s">
        <v>242</v>
      </c>
      <c r="I86" s="24" t="s">
        <v>245</v>
      </c>
      <c r="J86" s="29"/>
    </row>
    <row r="87" spans="1:10" ht="15.75" thickBot="1">
      <c r="A87" s="18" t="s">
        <v>221</v>
      </c>
      <c r="B87" s="15" t="s">
        <v>222</v>
      </c>
      <c r="C87" s="105">
        <v>20</v>
      </c>
      <c r="D87" s="15" t="s">
        <v>18</v>
      </c>
      <c r="E87" s="24" t="s">
        <v>17</v>
      </c>
      <c r="F87" s="16" t="s">
        <v>126</v>
      </c>
      <c r="G87" s="24" t="s">
        <v>24</v>
      </c>
      <c r="H87" s="15" t="s">
        <v>17</v>
      </c>
      <c r="I87" s="24" t="s">
        <v>245</v>
      </c>
      <c r="J87" s="29"/>
    </row>
    <row r="88" spans="1:10" ht="15.75" thickBot="1">
      <c r="A88" s="18" t="s">
        <v>223</v>
      </c>
      <c r="B88" s="15" t="s">
        <v>31</v>
      </c>
      <c r="C88" s="105">
        <v>4</v>
      </c>
      <c r="D88" s="15" t="s">
        <v>18</v>
      </c>
      <c r="E88" s="24" t="s">
        <v>17</v>
      </c>
      <c r="F88" s="16" t="s">
        <v>126</v>
      </c>
      <c r="G88" s="24" t="s">
        <v>24</v>
      </c>
      <c r="H88" s="15" t="s">
        <v>17</v>
      </c>
      <c r="I88" s="24" t="s">
        <v>245</v>
      </c>
      <c r="J88" s="29"/>
    </row>
    <row r="89" spans="1:10" ht="15.75" thickBot="1">
      <c r="A89" s="20" t="s">
        <v>224</v>
      </c>
      <c r="B89" s="17" t="s">
        <v>138</v>
      </c>
      <c r="C89" s="106">
        <v>2.246</v>
      </c>
      <c r="D89" s="17" t="s">
        <v>666</v>
      </c>
      <c r="E89" s="26" t="s">
        <v>133</v>
      </c>
      <c r="F89" s="16" t="s">
        <v>126</v>
      </c>
      <c r="G89" s="26" t="s">
        <v>24</v>
      </c>
      <c r="H89" s="17" t="s">
        <v>242</v>
      </c>
      <c r="I89" s="26" t="s">
        <v>245</v>
      </c>
      <c r="J89" s="29"/>
    </row>
    <row r="90" spans="1:10" ht="15.75" thickBot="1"/>
    <row r="91" spans="1:10" ht="15.75" thickBot="1">
      <c r="A91" s="53" t="s">
        <v>102</v>
      </c>
      <c r="B91" s="117"/>
      <c r="C91" s="119">
        <f>SUM(existingnstable[Nameplate Capacity (MW)])</f>
        <v>888.29470000000015</v>
      </c>
      <c r="D91" s="117"/>
      <c r="E91" s="118"/>
      <c r="F91" s="117"/>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98"/>
  <sheetViews>
    <sheetView workbookViewId="0"/>
  </sheetViews>
  <sheetFormatPr defaultColWidth="9.140625" defaultRowHeight="15"/>
  <cols>
    <col min="1" max="1" width="30.85546875" style="69" bestFit="1" customWidth="1"/>
    <col min="2" max="2" width="60.7109375" style="69" bestFit="1" customWidth="1"/>
    <col min="3" max="3" width="27.85546875" style="69" bestFit="1" customWidth="1"/>
    <col min="4" max="4" width="25.28515625" style="69" bestFit="1" customWidth="1"/>
    <col min="5" max="5" width="37.7109375" style="69" bestFit="1" customWidth="1"/>
    <col min="6" max="6" width="14.7109375" style="69" bestFit="1" customWidth="1"/>
    <col min="7" max="7" width="23.28515625" style="69" bestFit="1" customWidth="1"/>
    <col min="8" max="8" width="14.28515625" style="69" bestFit="1" customWidth="1"/>
    <col min="9" max="9" width="23.7109375" style="69" bestFit="1" customWidth="1"/>
    <col min="10" max="10" width="81.140625" style="29" bestFit="1" customWidth="1"/>
    <col min="11" max="11" width="19.140625" style="29" hidden="1" customWidth="1"/>
    <col min="12" max="12" width="28.5703125" style="29" hidden="1" customWidth="1"/>
    <col min="13" max="13" width="17.85546875" style="29" hidden="1" customWidth="1"/>
    <col min="14" max="14" width="10.7109375" style="29" hidden="1" customWidth="1"/>
    <col min="15" max="15" width="19.5703125" style="71" hidden="1" customWidth="1"/>
    <col min="16" max="16384" width="9.140625" style="29"/>
  </cols>
  <sheetData>
    <row r="1" spans="1:15" ht="20.25" thickBot="1">
      <c r="A1" s="49" t="s">
        <v>225</v>
      </c>
      <c r="J1"/>
      <c r="K1"/>
      <c r="L1"/>
      <c r="M1"/>
      <c r="N1"/>
      <c r="O1" s="70"/>
    </row>
    <row r="2" spans="1:15" ht="15.75" thickBot="1">
      <c r="A2" s="56" t="s">
        <v>226</v>
      </c>
      <c r="B2" s="57" t="s">
        <v>2</v>
      </c>
      <c r="C2" s="57" t="s">
        <v>227</v>
      </c>
      <c r="D2" s="57" t="s">
        <v>3</v>
      </c>
      <c r="E2" s="57" t="s">
        <v>4</v>
      </c>
      <c r="F2" s="57" t="s">
        <v>228</v>
      </c>
      <c r="G2" s="57" t="s">
        <v>123</v>
      </c>
      <c r="H2" s="57" t="s">
        <v>5</v>
      </c>
      <c r="I2" s="57" t="s">
        <v>229</v>
      </c>
      <c r="J2" s="57" t="s">
        <v>675</v>
      </c>
      <c r="K2" s="9" t="s">
        <v>250</v>
      </c>
      <c r="L2" s="9" t="s">
        <v>251</v>
      </c>
      <c r="M2" s="9" t="s">
        <v>252</v>
      </c>
      <c r="N2" s="9" t="s">
        <v>253</v>
      </c>
      <c r="O2" s="10" t="s">
        <v>254</v>
      </c>
    </row>
    <row r="3" spans="1:15" ht="15.75" thickBot="1">
      <c r="A3" s="13" t="s">
        <v>707</v>
      </c>
      <c r="B3" s="58" t="s">
        <v>320</v>
      </c>
      <c r="C3" s="59" t="s">
        <v>230</v>
      </c>
      <c r="D3" s="60" t="s">
        <v>36</v>
      </c>
      <c r="E3" s="59" t="s">
        <v>37</v>
      </c>
      <c r="F3" s="60" t="s">
        <v>255</v>
      </c>
      <c r="G3" s="107" t="s">
        <v>412</v>
      </c>
      <c r="H3" s="60" t="s">
        <v>14</v>
      </c>
      <c r="I3" s="59" t="s">
        <v>708</v>
      </c>
      <c r="J3" s="60" t="s">
        <v>709</v>
      </c>
      <c r="K3" s="114" t="s">
        <v>247</v>
      </c>
      <c r="L3" s="111">
        <v>200</v>
      </c>
      <c r="M3" s="114" t="s">
        <v>231</v>
      </c>
      <c r="N3" s="111" t="s">
        <v>24</v>
      </c>
      <c r="O3" s="114" t="s">
        <v>37</v>
      </c>
    </row>
    <row r="4" spans="1:15" ht="15.75" thickBot="1">
      <c r="A4" s="12" t="s">
        <v>258</v>
      </c>
      <c r="B4" s="61" t="s">
        <v>259</v>
      </c>
      <c r="C4" s="62" t="s">
        <v>260</v>
      </c>
      <c r="D4" s="63" t="s">
        <v>12</v>
      </c>
      <c r="E4" s="62" t="s">
        <v>13</v>
      </c>
      <c r="F4" s="63" t="s">
        <v>255</v>
      </c>
      <c r="G4" s="108" t="s">
        <v>261</v>
      </c>
      <c r="H4" s="63" t="s">
        <v>14</v>
      </c>
      <c r="I4" s="62" t="s">
        <v>708</v>
      </c>
      <c r="J4" s="63"/>
      <c r="K4" s="114" t="s">
        <v>247</v>
      </c>
      <c r="L4" s="111">
        <v>280</v>
      </c>
      <c r="M4" s="114" t="s">
        <v>231</v>
      </c>
      <c r="N4" s="111" t="s">
        <v>24</v>
      </c>
      <c r="O4" s="114" t="s">
        <v>13</v>
      </c>
    </row>
    <row r="5" spans="1:15" ht="15.75" thickBot="1">
      <c r="A5" s="12" t="s">
        <v>19</v>
      </c>
      <c r="B5" s="61" t="s">
        <v>20</v>
      </c>
      <c r="C5" s="62" t="s">
        <v>230</v>
      </c>
      <c r="D5" s="63" t="s">
        <v>22</v>
      </c>
      <c r="E5" s="62" t="s">
        <v>727</v>
      </c>
      <c r="F5" s="63" t="s">
        <v>726</v>
      </c>
      <c r="G5" s="108" t="s">
        <v>290</v>
      </c>
      <c r="H5" s="63" t="s">
        <v>10</v>
      </c>
      <c r="I5" s="62" t="s">
        <v>728</v>
      </c>
      <c r="J5" s="63"/>
      <c r="K5" s="114" t="s">
        <v>726</v>
      </c>
      <c r="L5" s="111">
        <v>100</v>
      </c>
      <c r="M5" s="114" t="s">
        <v>231</v>
      </c>
      <c r="N5" s="111" t="s">
        <v>24</v>
      </c>
      <c r="O5" s="114" t="s">
        <v>240</v>
      </c>
    </row>
    <row r="6" spans="1:15" ht="15.75" thickBot="1">
      <c r="A6" s="12" t="s">
        <v>105</v>
      </c>
      <c r="B6" s="61" t="s">
        <v>262</v>
      </c>
      <c r="C6" s="62" t="s">
        <v>106</v>
      </c>
      <c r="D6" s="63" t="s">
        <v>38</v>
      </c>
      <c r="E6" s="62" t="s">
        <v>37</v>
      </c>
      <c r="F6" s="63" t="s">
        <v>246</v>
      </c>
      <c r="G6" s="108" t="s">
        <v>263</v>
      </c>
      <c r="H6" s="63" t="s">
        <v>14</v>
      </c>
      <c r="I6" s="62" t="s">
        <v>695</v>
      </c>
      <c r="J6" s="63"/>
      <c r="K6" s="114" t="s">
        <v>246</v>
      </c>
      <c r="L6" s="111">
        <v>98.4</v>
      </c>
      <c r="M6" s="114" t="s">
        <v>231</v>
      </c>
      <c r="N6" s="111" t="s">
        <v>24</v>
      </c>
      <c r="O6" s="114" t="s">
        <v>37</v>
      </c>
    </row>
    <row r="7" spans="1:15" ht="15.75" thickBot="1">
      <c r="A7" s="12" t="s">
        <v>643</v>
      </c>
      <c r="B7" s="61" t="s">
        <v>286</v>
      </c>
      <c r="C7" s="62" t="s">
        <v>644</v>
      </c>
      <c r="D7" s="63" t="s">
        <v>36</v>
      </c>
      <c r="E7" s="62" t="s">
        <v>37</v>
      </c>
      <c r="F7" s="63" t="s">
        <v>255</v>
      </c>
      <c r="G7" s="108" t="s">
        <v>230</v>
      </c>
      <c r="H7" s="63" t="s">
        <v>14</v>
      </c>
      <c r="I7" s="62" t="s">
        <v>708</v>
      </c>
      <c r="J7" s="63"/>
      <c r="K7" s="114" t="s">
        <v>247</v>
      </c>
      <c r="L7" s="111">
        <v>0</v>
      </c>
      <c r="M7" s="114" t="s">
        <v>232</v>
      </c>
      <c r="N7" s="111" t="s">
        <v>24</v>
      </c>
      <c r="O7" s="114" t="s">
        <v>37</v>
      </c>
    </row>
    <row r="8" spans="1:15" ht="15.75" thickBot="1">
      <c r="A8" s="12" t="s">
        <v>264</v>
      </c>
      <c r="B8" s="61" t="s">
        <v>265</v>
      </c>
      <c r="C8" s="64" t="s">
        <v>266</v>
      </c>
      <c r="D8" s="63" t="s">
        <v>12</v>
      </c>
      <c r="E8" s="64" t="s">
        <v>13</v>
      </c>
      <c r="F8" s="63" t="s">
        <v>255</v>
      </c>
      <c r="G8" s="109" t="s">
        <v>267</v>
      </c>
      <c r="H8" s="63" t="s">
        <v>14</v>
      </c>
      <c r="I8" s="64" t="s">
        <v>268</v>
      </c>
      <c r="J8" s="63" t="s">
        <v>676</v>
      </c>
      <c r="K8" s="114" t="s">
        <v>247</v>
      </c>
      <c r="L8" s="111">
        <v>108.5</v>
      </c>
      <c r="M8" s="114" t="s">
        <v>231</v>
      </c>
      <c r="N8" s="111" t="s">
        <v>24</v>
      </c>
      <c r="O8" s="114" t="s">
        <v>13</v>
      </c>
    </row>
    <row r="9" spans="1:15" ht="15.75" thickBot="1">
      <c r="A9" s="12" t="s">
        <v>451</v>
      </c>
      <c r="B9" s="61" t="s">
        <v>452</v>
      </c>
      <c r="C9" s="64" t="s">
        <v>103</v>
      </c>
      <c r="D9" s="63" t="s">
        <v>230</v>
      </c>
      <c r="E9" s="64" t="s">
        <v>760</v>
      </c>
      <c r="F9" s="63" t="s">
        <v>255</v>
      </c>
      <c r="G9" s="109" t="s">
        <v>114</v>
      </c>
      <c r="H9" s="63" t="s">
        <v>233</v>
      </c>
      <c r="I9" s="64" t="s">
        <v>708</v>
      </c>
      <c r="J9" s="63"/>
      <c r="K9" s="114" t="s">
        <v>247</v>
      </c>
      <c r="L9" s="111">
        <v>12</v>
      </c>
      <c r="M9" s="114" t="s">
        <v>231</v>
      </c>
      <c r="N9" s="111" t="s">
        <v>24</v>
      </c>
      <c r="O9" s="114"/>
    </row>
    <row r="10" spans="1:15" ht="15.75" thickBot="1">
      <c r="A10" s="12" t="s">
        <v>269</v>
      </c>
      <c r="B10" s="61" t="s">
        <v>270</v>
      </c>
      <c r="C10" s="64" t="s">
        <v>103</v>
      </c>
      <c r="D10" s="63" t="s">
        <v>701</v>
      </c>
      <c r="E10" s="64" t="s">
        <v>702</v>
      </c>
      <c r="F10" s="63" t="s">
        <v>255</v>
      </c>
      <c r="G10" s="109" t="s">
        <v>271</v>
      </c>
      <c r="H10" s="63" t="s">
        <v>10</v>
      </c>
      <c r="I10" s="64" t="s">
        <v>708</v>
      </c>
      <c r="J10" s="63"/>
      <c r="K10" s="114" t="s">
        <v>247</v>
      </c>
      <c r="L10" s="111">
        <v>225</v>
      </c>
      <c r="M10" s="114" t="s">
        <v>231</v>
      </c>
      <c r="N10" s="111" t="s">
        <v>24</v>
      </c>
      <c r="O10" s="114" t="s">
        <v>241</v>
      </c>
    </row>
    <row r="11" spans="1:15" ht="15.75" thickBot="1">
      <c r="A11" s="12" t="s">
        <v>107</v>
      </c>
      <c r="B11" s="61" t="s">
        <v>272</v>
      </c>
      <c r="C11" s="64" t="s">
        <v>108</v>
      </c>
      <c r="D11" s="63" t="s">
        <v>12</v>
      </c>
      <c r="E11" s="64" t="s">
        <v>13</v>
      </c>
      <c r="F11" s="63" t="s">
        <v>246</v>
      </c>
      <c r="G11" s="109" t="s">
        <v>273</v>
      </c>
      <c r="H11" s="63" t="s">
        <v>14</v>
      </c>
      <c r="I11" s="64" t="s">
        <v>696</v>
      </c>
      <c r="J11" s="63"/>
      <c r="K11" s="114" t="s">
        <v>246</v>
      </c>
      <c r="L11" s="111">
        <v>113.19</v>
      </c>
      <c r="M11" s="114" t="s">
        <v>231</v>
      </c>
      <c r="N11" s="111" t="s">
        <v>24</v>
      </c>
      <c r="O11" s="114" t="s">
        <v>13</v>
      </c>
    </row>
    <row r="12" spans="1:15" ht="15.75" thickBot="1">
      <c r="A12" s="12" t="s">
        <v>274</v>
      </c>
      <c r="B12" s="61" t="s">
        <v>275</v>
      </c>
      <c r="C12" s="64" t="s">
        <v>118</v>
      </c>
      <c r="D12" s="63" t="s">
        <v>36</v>
      </c>
      <c r="E12" s="64" t="s">
        <v>37</v>
      </c>
      <c r="F12" s="63" t="s">
        <v>255</v>
      </c>
      <c r="G12" s="109" t="s">
        <v>114</v>
      </c>
      <c r="H12" s="63" t="s">
        <v>233</v>
      </c>
      <c r="I12" s="64" t="s">
        <v>708</v>
      </c>
      <c r="J12" s="63" t="s">
        <v>677</v>
      </c>
      <c r="K12" s="114" t="s">
        <v>247</v>
      </c>
      <c r="L12" s="111">
        <v>12</v>
      </c>
      <c r="M12" s="114" t="s">
        <v>231</v>
      </c>
      <c r="N12" s="111" t="s">
        <v>24</v>
      </c>
      <c r="O12" s="114" t="s">
        <v>37</v>
      </c>
    </row>
    <row r="13" spans="1:15" ht="15.75" thickBot="1">
      <c r="A13" s="12" t="s">
        <v>276</v>
      </c>
      <c r="B13" s="61" t="s">
        <v>277</v>
      </c>
      <c r="C13" s="64" t="s">
        <v>103</v>
      </c>
      <c r="D13" s="63" t="s">
        <v>38</v>
      </c>
      <c r="E13" s="64" t="s">
        <v>37</v>
      </c>
      <c r="F13" s="63" t="s">
        <v>255</v>
      </c>
      <c r="G13" s="109" t="s">
        <v>278</v>
      </c>
      <c r="H13" s="63" t="s">
        <v>233</v>
      </c>
      <c r="I13" s="64" t="s">
        <v>708</v>
      </c>
      <c r="J13" s="63"/>
      <c r="K13" s="114" t="s">
        <v>247</v>
      </c>
      <c r="L13" s="111">
        <v>120</v>
      </c>
      <c r="M13" s="114" t="s">
        <v>231</v>
      </c>
      <c r="N13" s="111" t="s">
        <v>24</v>
      </c>
      <c r="O13" s="114" t="s">
        <v>37</v>
      </c>
    </row>
    <row r="14" spans="1:15" ht="15.75" thickBot="1">
      <c r="A14" s="12" t="s">
        <v>279</v>
      </c>
      <c r="B14" s="61" t="s">
        <v>280</v>
      </c>
      <c r="C14" s="64" t="s">
        <v>281</v>
      </c>
      <c r="D14" s="63" t="s">
        <v>230</v>
      </c>
      <c r="E14" s="64" t="s">
        <v>37</v>
      </c>
      <c r="F14" s="63" t="s">
        <v>282</v>
      </c>
      <c r="G14" s="109" t="s">
        <v>283</v>
      </c>
      <c r="H14" s="63" t="s">
        <v>14</v>
      </c>
      <c r="I14" s="64" t="s">
        <v>708</v>
      </c>
      <c r="J14" s="63"/>
      <c r="K14" s="114" t="s">
        <v>247</v>
      </c>
      <c r="L14" s="111">
        <v>112</v>
      </c>
      <c r="M14" s="114" t="s">
        <v>231</v>
      </c>
      <c r="N14" s="111" t="s">
        <v>24</v>
      </c>
      <c r="O14" s="114" t="s">
        <v>37</v>
      </c>
    </row>
    <row r="15" spans="1:15" ht="15.75" thickBot="1">
      <c r="A15" s="12" t="s">
        <v>284</v>
      </c>
      <c r="B15" s="61" t="s">
        <v>230</v>
      </c>
      <c r="C15" s="64" t="s">
        <v>103</v>
      </c>
      <c r="D15" s="63" t="s">
        <v>36</v>
      </c>
      <c r="E15" s="64" t="s">
        <v>37</v>
      </c>
      <c r="F15" s="63" t="s">
        <v>255</v>
      </c>
      <c r="G15" s="109" t="s">
        <v>285</v>
      </c>
      <c r="H15" s="63" t="s">
        <v>233</v>
      </c>
      <c r="I15" s="64" t="s">
        <v>708</v>
      </c>
      <c r="J15" s="63"/>
      <c r="K15" s="114" t="s">
        <v>247</v>
      </c>
      <c r="L15" s="111">
        <v>29</v>
      </c>
      <c r="M15" s="114" t="s">
        <v>231</v>
      </c>
      <c r="N15" s="111" t="s">
        <v>24</v>
      </c>
      <c r="O15" s="114" t="s">
        <v>37</v>
      </c>
    </row>
    <row r="16" spans="1:15" ht="15.75" thickBot="1">
      <c r="A16" s="12" t="s">
        <v>289</v>
      </c>
      <c r="B16" s="61" t="s">
        <v>275</v>
      </c>
      <c r="C16" s="64" t="s">
        <v>108</v>
      </c>
      <c r="D16" s="63" t="s">
        <v>12</v>
      </c>
      <c r="E16" s="64" t="s">
        <v>13</v>
      </c>
      <c r="F16" s="63" t="s">
        <v>255</v>
      </c>
      <c r="G16" s="109" t="s">
        <v>290</v>
      </c>
      <c r="H16" s="63" t="s">
        <v>14</v>
      </c>
      <c r="I16" s="64" t="s">
        <v>291</v>
      </c>
      <c r="J16" s="63" t="s">
        <v>678</v>
      </c>
      <c r="K16" s="114" t="s">
        <v>247</v>
      </c>
      <c r="L16" s="111">
        <v>100</v>
      </c>
      <c r="M16" s="114" t="s">
        <v>231</v>
      </c>
      <c r="N16" s="111" t="s">
        <v>24</v>
      </c>
      <c r="O16" s="114" t="s">
        <v>13</v>
      </c>
    </row>
    <row r="17" spans="1:15" ht="15.75" thickBot="1">
      <c r="A17" s="12" t="s">
        <v>292</v>
      </c>
      <c r="B17" s="61" t="s">
        <v>293</v>
      </c>
      <c r="C17" s="64" t="s">
        <v>294</v>
      </c>
      <c r="D17" s="63" t="s">
        <v>36</v>
      </c>
      <c r="E17" s="64" t="s">
        <v>37</v>
      </c>
      <c r="F17" s="63" t="s">
        <v>255</v>
      </c>
      <c r="G17" s="109" t="s">
        <v>295</v>
      </c>
      <c r="H17" s="63" t="s">
        <v>14</v>
      </c>
      <c r="I17" s="64" t="s">
        <v>708</v>
      </c>
      <c r="J17" s="63" t="s">
        <v>677</v>
      </c>
      <c r="K17" s="114" t="s">
        <v>247</v>
      </c>
      <c r="L17" s="111">
        <v>50</v>
      </c>
      <c r="M17" s="114" t="s">
        <v>231</v>
      </c>
      <c r="N17" s="111" t="s">
        <v>24</v>
      </c>
      <c r="O17" s="114" t="s">
        <v>37</v>
      </c>
    </row>
    <row r="18" spans="1:15" ht="15.75" thickBot="1">
      <c r="A18" s="12" t="s">
        <v>296</v>
      </c>
      <c r="B18" s="61" t="s">
        <v>280</v>
      </c>
      <c r="C18" s="64" t="s">
        <v>297</v>
      </c>
      <c r="D18" s="63" t="s">
        <v>36</v>
      </c>
      <c r="E18" s="64" t="s">
        <v>37</v>
      </c>
      <c r="F18" s="63" t="s">
        <v>282</v>
      </c>
      <c r="G18" s="109" t="s">
        <v>234</v>
      </c>
      <c r="H18" s="63" t="s">
        <v>14</v>
      </c>
      <c r="I18" s="64" t="s">
        <v>708</v>
      </c>
      <c r="J18" s="63"/>
      <c r="K18" s="114" t="s">
        <v>247</v>
      </c>
      <c r="L18" s="111">
        <v>144</v>
      </c>
      <c r="M18" s="114" t="s">
        <v>231</v>
      </c>
      <c r="N18" s="111" t="s">
        <v>24</v>
      </c>
      <c r="O18" s="114" t="s">
        <v>37</v>
      </c>
    </row>
    <row r="19" spans="1:15" ht="15.75" thickBot="1">
      <c r="A19" s="12" t="s">
        <v>298</v>
      </c>
      <c r="B19" s="61" t="s">
        <v>299</v>
      </c>
      <c r="C19" s="64" t="s">
        <v>300</v>
      </c>
      <c r="D19" s="63" t="s">
        <v>22</v>
      </c>
      <c r="E19" s="64" t="s">
        <v>301</v>
      </c>
      <c r="F19" s="63" t="s">
        <v>255</v>
      </c>
      <c r="G19" s="109" t="s">
        <v>116</v>
      </c>
      <c r="H19" s="63" t="s">
        <v>233</v>
      </c>
      <c r="I19" s="64" t="s">
        <v>708</v>
      </c>
      <c r="J19" s="63"/>
      <c r="K19" s="114" t="s">
        <v>247</v>
      </c>
      <c r="L19" s="111">
        <v>8</v>
      </c>
      <c r="M19" s="114" t="s">
        <v>231</v>
      </c>
      <c r="N19" s="111" t="s">
        <v>24</v>
      </c>
      <c r="O19" s="114" t="s">
        <v>242</v>
      </c>
    </row>
    <row r="20" spans="1:15" ht="15.75" thickBot="1">
      <c r="A20" s="12" t="s">
        <v>109</v>
      </c>
      <c r="B20" s="61" t="s">
        <v>302</v>
      </c>
      <c r="C20" s="64" t="s">
        <v>110</v>
      </c>
      <c r="D20" s="63" t="s">
        <v>36</v>
      </c>
      <c r="E20" s="64" t="s">
        <v>37</v>
      </c>
      <c r="F20" s="63" t="s">
        <v>256</v>
      </c>
      <c r="G20" s="109" t="s">
        <v>303</v>
      </c>
      <c r="H20" s="63" t="s">
        <v>14</v>
      </c>
      <c r="I20" s="64" t="s">
        <v>304</v>
      </c>
      <c r="J20" s="63"/>
      <c r="K20" s="114" t="s">
        <v>246</v>
      </c>
      <c r="L20" s="111">
        <v>180</v>
      </c>
      <c r="M20" s="114" t="s">
        <v>231</v>
      </c>
      <c r="N20" s="111" t="s">
        <v>24</v>
      </c>
      <c r="O20" s="114" t="s">
        <v>37</v>
      </c>
    </row>
    <row r="21" spans="1:15" ht="15.75" thickBot="1">
      <c r="A21" s="12" t="s">
        <v>305</v>
      </c>
      <c r="B21" s="61" t="s">
        <v>88</v>
      </c>
      <c r="C21" s="64" t="s">
        <v>121</v>
      </c>
      <c r="D21" s="63" t="s">
        <v>12</v>
      </c>
      <c r="E21" s="64" t="s">
        <v>13</v>
      </c>
      <c r="F21" s="63" t="s">
        <v>255</v>
      </c>
      <c r="G21" s="109" t="s">
        <v>306</v>
      </c>
      <c r="H21" s="63" t="s">
        <v>14</v>
      </c>
      <c r="I21" s="64" t="s">
        <v>307</v>
      </c>
      <c r="J21" s="63"/>
      <c r="K21" s="114" t="s">
        <v>247</v>
      </c>
      <c r="L21" s="111">
        <v>189</v>
      </c>
      <c r="M21" s="114" t="s">
        <v>231</v>
      </c>
      <c r="N21" s="111" t="s">
        <v>24</v>
      </c>
      <c r="O21" s="114" t="s">
        <v>13</v>
      </c>
    </row>
    <row r="22" spans="1:15" ht="15.75" thickBot="1">
      <c r="A22" s="12" t="s">
        <v>658</v>
      </c>
      <c r="B22" s="61" t="s">
        <v>449</v>
      </c>
      <c r="C22" s="64" t="s">
        <v>103</v>
      </c>
      <c r="D22" s="63" t="s">
        <v>12</v>
      </c>
      <c r="E22" s="64" t="s">
        <v>13</v>
      </c>
      <c r="F22" s="63" t="s">
        <v>255</v>
      </c>
      <c r="G22" s="109" t="s">
        <v>659</v>
      </c>
      <c r="H22" s="63" t="s">
        <v>14</v>
      </c>
      <c r="I22" s="64" t="s">
        <v>708</v>
      </c>
      <c r="J22" s="63"/>
      <c r="K22" s="114" t="s">
        <v>247</v>
      </c>
      <c r="L22" s="111">
        <v>285</v>
      </c>
      <c r="M22" s="114" t="s">
        <v>231</v>
      </c>
      <c r="N22" s="111" t="s">
        <v>24</v>
      </c>
      <c r="O22" s="114" t="s">
        <v>13</v>
      </c>
    </row>
    <row r="23" spans="1:15" ht="15.75" thickBot="1">
      <c r="A23" s="12" t="s">
        <v>308</v>
      </c>
      <c r="B23" s="61" t="s">
        <v>309</v>
      </c>
      <c r="C23" s="64" t="s">
        <v>310</v>
      </c>
      <c r="D23" s="63" t="s">
        <v>38</v>
      </c>
      <c r="E23" s="64" t="s">
        <v>37</v>
      </c>
      <c r="F23" s="63" t="s">
        <v>255</v>
      </c>
      <c r="G23" s="109" t="s">
        <v>230</v>
      </c>
      <c r="H23" s="63" t="s">
        <v>14</v>
      </c>
      <c r="I23" s="64" t="s">
        <v>708</v>
      </c>
      <c r="J23" s="63" t="s">
        <v>679</v>
      </c>
      <c r="K23" s="114" t="s">
        <v>247</v>
      </c>
      <c r="L23" s="111">
        <v>0</v>
      </c>
      <c r="M23" s="114" t="s">
        <v>232</v>
      </c>
      <c r="N23" s="111" t="s">
        <v>24</v>
      </c>
      <c r="O23" s="114" t="s">
        <v>37</v>
      </c>
    </row>
    <row r="24" spans="1:15" ht="15.75" thickBot="1">
      <c r="A24" s="12" t="s">
        <v>111</v>
      </c>
      <c r="B24" s="61" t="s">
        <v>311</v>
      </c>
      <c r="C24" s="64" t="s">
        <v>112</v>
      </c>
      <c r="D24" s="63" t="s">
        <v>12</v>
      </c>
      <c r="E24" s="64" t="s">
        <v>13</v>
      </c>
      <c r="F24" s="63" t="s">
        <v>246</v>
      </c>
      <c r="G24" s="109" t="s">
        <v>312</v>
      </c>
      <c r="H24" s="63" t="s">
        <v>14</v>
      </c>
      <c r="I24" s="64" t="s">
        <v>697</v>
      </c>
      <c r="J24" s="63"/>
      <c r="K24" s="114" t="s">
        <v>246</v>
      </c>
      <c r="L24" s="111">
        <v>91</v>
      </c>
      <c r="M24" s="114" t="s">
        <v>231</v>
      </c>
      <c r="N24" s="111" t="s">
        <v>24</v>
      </c>
      <c r="O24" s="114" t="s">
        <v>13</v>
      </c>
    </row>
    <row r="25" spans="1:15" ht="15.75" thickBot="1">
      <c r="A25" s="12" t="s">
        <v>313</v>
      </c>
      <c r="B25" s="61" t="s">
        <v>311</v>
      </c>
      <c r="C25" s="64" t="s">
        <v>314</v>
      </c>
      <c r="D25" s="63" t="s">
        <v>12</v>
      </c>
      <c r="E25" s="64" t="s">
        <v>13</v>
      </c>
      <c r="F25" s="63" t="s">
        <v>255</v>
      </c>
      <c r="G25" s="109" t="s">
        <v>315</v>
      </c>
      <c r="H25" s="63" t="s">
        <v>14</v>
      </c>
      <c r="I25" s="64" t="s">
        <v>708</v>
      </c>
      <c r="J25" s="63"/>
      <c r="K25" s="114" t="s">
        <v>247</v>
      </c>
      <c r="L25" s="111">
        <v>88.09</v>
      </c>
      <c r="M25" s="114" t="s">
        <v>231</v>
      </c>
      <c r="N25" s="111" t="s">
        <v>24</v>
      </c>
      <c r="O25" s="114" t="s">
        <v>13</v>
      </c>
    </row>
    <row r="26" spans="1:15" ht="15.75" thickBot="1">
      <c r="A26" s="12" t="s">
        <v>453</v>
      </c>
      <c r="B26" s="61" t="s">
        <v>454</v>
      </c>
      <c r="C26" s="64" t="s">
        <v>103</v>
      </c>
      <c r="D26" s="63" t="s">
        <v>230</v>
      </c>
      <c r="E26" s="64" t="s">
        <v>133</v>
      </c>
      <c r="F26" s="63" t="s">
        <v>255</v>
      </c>
      <c r="G26" s="109" t="s">
        <v>337</v>
      </c>
      <c r="H26" s="63" t="s">
        <v>233</v>
      </c>
      <c r="I26" s="64" t="s">
        <v>708</v>
      </c>
      <c r="J26" s="63"/>
      <c r="K26" s="114" t="s">
        <v>247</v>
      </c>
      <c r="L26" s="111">
        <v>15</v>
      </c>
      <c r="M26" s="114" t="s">
        <v>231</v>
      </c>
      <c r="N26" s="111" t="s">
        <v>24</v>
      </c>
      <c r="O26" s="114" t="s">
        <v>242</v>
      </c>
    </row>
    <row r="27" spans="1:15" ht="15.75" thickBot="1">
      <c r="A27" s="12" t="s">
        <v>316</v>
      </c>
      <c r="B27" s="61" t="s">
        <v>317</v>
      </c>
      <c r="C27" s="64" t="s">
        <v>120</v>
      </c>
      <c r="D27" s="63" t="s">
        <v>12</v>
      </c>
      <c r="E27" s="64" t="s">
        <v>13</v>
      </c>
      <c r="F27" s="63" t="s">
        <v>256</v>
      </c>
      <c r="G27" s="109" t="s">
        <v>318</v>
      </c>
      <c r="H27" s="63" t="s">
        <v>14</v>
      </c>
      <c r="I27" s="64" t="s">
        <v>698</v>
      </c>
      <c r="J27" s="63" t="s">
        <v>680</v>
      </c>
      <c r="K27" s="114" t="s">
        <v>246</v>
      </c>
      <c r="L27" s="111">
        <v>135</v>
      </c>
      <c r="M27" s="114" t="s">
        <v>231</v>
      </c>
      <c r="N27" s="111" t="s">
        <v>24</v>
      </c>
      <c r="O27" s="114" t="s">
        <v>13</v>
      </c>
    </row>
    <row r="28" spans="1:15" ht="15.75" thickBot="1">
      <c r="A28" s="12" t="s">
        <v>319</v>
      </c>
      <c r="B28" s="61" t="s">
        <v>320</v>
      </c>
      <c r="C28" s="64" t="s">
        <v>321</v>
      </c>
      <c r="D28" s="63" t="s">
        <v>36</v>
      </c>
      <c r="E28" s="64" t="s">
        <v>37</v>
      </c>
      <c r="F28" s="63" t="s">
        <v>255</v>
      </c>
      <c r="G28" s="109" t="s">
        <v>321</v>
      </c>
      <c r="H28" s="63" t="s">
        <v>14</v>
      </c>
      <c r="I28" s="64" t="s">
        <v>708</v>
      </c>
      <c r="J28" s="63"/>
      <c r="K28" s="114" t="s">
        <v>247</v>
      </c>
      <c r="L28" s="111">
        <v>195</v>
      </c>
      <c r="M28" s="114" t="s">
        <v>231</v>
      </c>
      <c r="N28" s="111" t="s">
        <v>24</v>
      </c>
      <c r="O28" s="114" t="s">
        <v>37</v>
      </c>
    </row>
    <row r="29" spans="1:15" ht="15.75" thickBot="1">
      <c r="A29" s="12" t="s">
        <v>322</v>
      </c>
      <c r="B29" s="61" t="s">
        <v>322</v>
      </c>
      <c r="C29" s="64" t="s">
        <v>103</v>
      </c>
      <c r="D29" s="63" t="s">
        <v>36</v>
      </c>
      <c r="E29" s="64" t="s">
        <v>37</v>
      </c>
      <c r="F29" s="63" t="s">
        <v>255</v>
      </c>
      <c r="G29" s="109" t="s">
        <v>323</v>
      </c>
      <c r="H29" s="63" t="s">
        <v>14</v>
      </c>
      <c r="I29" s="64" t="s">
        <v>708</v>
      </c>
      <c r="J29" s="63" t="s">
        <v>703</v>
      </c>
      <c r="K29" s="114" t="s">
        <v>247</v>
      </c>
      <c r="L29" s="111">
        <v>275</v>
      </c>
      <c r="M29" s="114" t="s">
        <v>231</v>
      </c>
      <c r="N29" s="111" t="s">
        <v>24</v>
      </c>
      <c r="O29" s="114" t="s">
        <v>37</v>
      </c>
    </row>
    <row r="30" spans="1:15" ht="15.75" thickBot="1">
      <c r="A30" s="12" t="s">
        <v>324</v>
      </c>
      <c r="B30" s="61" t="s">
        <v>325</v>
      </c>
      <c r="C30" s="64" t="s">
        <v>326</v>
      </c>
      <c r="D30" s="63" t="s">
        <v>36</v>
      </c>
      <c r="E30" s="64" t="s">
        <v>37</v>
      </c>
      <c r="F30" s="63" t="s">
        <v>255</v>
      </c>
      <c r="G30" s="109" t="s">
        <v>326</v>
      </c>
      <c r="H30" s="63" t="s">
        <v>14</v>
      </c>
      <c r="I30" s="64" t="s">
        <v>708</v>
      </c>
      <c r="J30" s="63"/>
      <c r="K30" s="114" t="s">
        <v>247</v>
      </c>
      <c r="L30" s="111">
        <v>66</v>
      </c>
      <c r="M30" s="114" t="s">
        <v>231</v>
      </c>
      <c r="N30" s="111" t="s">
        <v>24</v>
      </c>
      <c r="O30" s="114" t="s">
        <v>37</v>
      </c>
    </row>
    <row r="31" spans="1:15" ht="15.75" thickBot="1">
      <c r="A31" s="12" t="s">
        <v>669</v>
      </c>
      <c r="B31" s="61" t="s">
        <v>670</v>
      </c>
      <c r="C31" s="64" t="s">
        <v>103</v>
      </c>
      <c r="D31" s="63" t="s">
        <v>230</v>
      </c>
      <c r="E31" s="64" t="s">
        <v>301</v>
      </c>
      <c r="F31" s="63" t="s">
        <v>255</v>
      </c>
      <c r="G31" s="109" t="s">
        <v>671</v>
      </c>
      <c r="H31" s="63" t="s">
        <v>10</v>
      </c>
      <c r="I31" s="64" t="s">
        <v>708</v>
      </c>
      <c r="J31" s="63"/>
      <c r="K31" s="114" t="s">
        <v>247</v>
      </c>
      <c r="L31" s="111">
        <v>69</v>
      </c>
      <c r="M31" s="114" t="s">
        <v>231</v>
      </c>
      <c r="N31" s="111" t="s">
        <v>24</v>
      </c>
      <c r="O31" s="114" t="s">
        <v>242</v>
      </c>
    </row>
    <row r="32" spans="1:15" ht="15.75" thickBot="1">
      <c r="A32" s="12" t="s">
        <v>455</v>
      </c>
      <c r="B32" s="61" t="s">
        <v>286</v>
      </c>
      <c r="C32" s="64" t="s">
        <v>287</v>
      </c>
      <c r="D32" s="63" t="s">
        <v>36</v>
      </c>
      <c r="E32" s="64" t="s">
        <v>37</v>
      </c>
      <c r="F32" s="63" t="s">
        <v>255</v>
      </c>
      <c r="G32" s="109" t="s">
        <v>288</v>
      </c>
      <c r="H32" s="63" t="s">
        <v>14</v>
      </c>
      <c r="I32" s="64" t="s">
        <v>708</v>
      </c>
      <c r="J32" s="63"/>
      <c r="K32" s="114" t="s">
        <v>247</v>
      </c>
      <c r="L32" s="111">
        <v>150</v>
      </c>
      <c r="M32" s="114" t="s">
        <v>231</v>
      </c>
      <c r="N32" s="111" t="s">
        <v>24</v>
      </c>
      <c r="O32" s="114" t="s">
        <v>37</v>
      </c>
    </row>
    <row r="33" spans="1:15" ht="15.75" thickBot="1">
      <c r="A33" s="12" t="s">
        <v>327</v>
      </c>
      <c r="B33" s="61" t="s">
        <v>275</v>
      </c>
      <c r="C33" s="64" t="s">
        <v>328</v>
      </c>
      <c r="D33" s="63" t="s">
        <v>12</v>
      </c>
      <c r="E33" s="64" t="s">
        <v>13</v>
      </c>
      <c r="F33" s="63" t="s">
        <v>282</v>
      </c>
      <c r="G33" s="109" t="s">
        <v>288</v>
      </c>
      <c r="H33" s="63" t="s">
        <v>14</v>
      </c>
      <c r="I33" s="64" t="s">
        <v>329</v>
      </c>
      <c r="J33" s="63" t="s">
        <v>681</v>
      </c>
      <c r="K33" s="114" t="s">
        <v>247</v>
      </c>
      <c r="L33" s="111">
        <v>150</v>
      </c>
      <c r="M33" s="114" t="s">
        <v>231</v>
      </c>
      <c r="N33" s="111" t="s">
        <v>24</v>
      </c>
      <c r="O33" s="114" t="s">
        <v>13</v>
      </c>
    </row>
    <row r="34" spans="1:15" ht="15.75" thickBot="1">
      <c r="A34" s="12" t="s">
        <v>645</v>
      </c>
      <c r="B34" s="61" t="s">
        <v>646</v>
      </c>
      <c r="C34" s="64" t="s">
        <v>645</v>
      </c>
      <c r="D34" s="63" t="s">
        <v>36</v>
      </c>
      <c r="E34" s="64" t="s">
        <v>37</v>
      </c>
      <c r="F34" s="63" t="s">
        <v>255</v>
      </c>
      <c r="G34" s="109" t="s">
        <v>337</v>
      </c>
      <c r="H34" s="63" t="s">
        <v>233</v>
      </c>
      <c r="I34" s="64" t="s">
        <v>708</v>
      </c>
      <c r="J34" s="63"/>
      <c r="K34" s="114" t="s">
        <v>247</v>
      </c>
      <c r="L34" s="111">
        <v>15</v>
      </c>
      <c r="M34" s="114" t="s">
        <v>231</v>
      </c>
      <c r="N34" s="111" t="s">
        <v>24</v>
      </c>
      <c r="O34" s="114" t="s">
        <v>37</v>
      </c>
    </row>
    <row r="35" spans="1:15" ht="15.75" thickBot="1">
      <c r="A35" s="12" t="s">
        <v>330</v>
      </c>
      <c r="B35" s="61" t="s">
        <v>302</v>
      </c>
      <c r="C35" s="64" t="s">
        <v>278</v>
      </c>
      <c r="D35" s="63" t="s">
        <v>36</v>
      </c>
      <c r="E35" s="64" t="s">
        <v>37</v>
      </c>
      <c r="F35" s="63" t="s">
        <v>255</v>
      </c>
      <c r="G35" s="109" t="s">
        <v>331</v>
      </c>
      <c r="H35" s="63" t="s">
        <v>14</v>
      </c>
      <c r="I35" s="64" t="s">
        <v>708</v>
      </c>
      <c r="J35" s="63" t="s">
        <v>682</v>
      </c>
      <c r="K35" s="114" t="s">
        <v>247</v>
      </c>
      <c r="L35" s="111">
        <v>40</v>
      </c>
      <c r="M35" s="114" t="s">
        <v>231</v>
      </c>
      <c r="N35" s="111" t="s">
        <v>24</v>
      </c>
      <c r="O35" s="114" t="s">
        <v>37</v>
      </c>
    </row>
    <row r="36" spans="1:15" ht="15.75" thickBot="1">
      <c r="A36" s="12" t="s">
        <v>332</v>
      </c>
      <c r="B36" s="61" t="s">
        <v>333</v>
      </c>
      <c r="C36" s="64" t="s">
        <v>334</v>
      </c>
      <c r="D36" s="63" t="s">
        <v>12</v>
      </c>
      <c r="E36" s="64" t="s">
        <v>13</v>
      </c>
      <c r="F36" s="63" t="s">
        <v>255</v>
      </c>
      <c r="G36" s="109" t="s">
        <v>335</v>
      </c>
      <c r="H36" s="63" t="s">
        <v>14</v>
      </c>
      <c r="I36" s="64" t="s">
        <v>708</v>
      </c>
      <c r="J36" s="63"/>
      <c r="K36" s="114" t="s">
        <v>247</v>
      </c>
      <c r="L36" s="111">
        <v>90</v>
      </c>
      <c r="M36" s="114" t="s">
        <v>231</v>
      </c>
      <c r="N36" s="111" t="s">
        <v>24</v>
      </c>
      <c r="O36" s="114" t="s">
        <v>13</v>
      </c>
    </row>
    <row r="37" spans="1:15" ht="15.75" thickBot="1">
      <c r="A37" s="12" t="s">
        <v>336</v>
      </c>
      <c r="B37" s="61" t="s">
        <v>20</v>
      </c>
      <c r="C37" s="64" t="s">
        <v>104</v>
      </c>
      <c r="D37" s="63" t="s">
        <v>41</v>
      </c>
      <c r="E37" s="64" t="s">
        <v>32</v>
      </c>
      <c r="F37" s="63" t="s">
        <v>255</v>
      </c>
      <c r="G37" s="109" t="s">
        <v>337</v>
      </c>
      <c r="H37" s="63" t="s">
        <v>14</v>
      </c>
      <c r="I37" s="64" t="s">
        <v>708</v>
      </c>
      <c r="J37" s="63"/>
      <c r="K37" s="114" t="s">
        <v>247</v>
      </c>
      <c r="L37" s="111">
        <v>15</v>
      </c>
      <c r="M37" s="114" t="s">
        <v>231</v>
      </c>
      <c r="N37" s="111" t="s">
        <v>24</v>
      </c>
      <c r="O37" s="114" t="s">
        <v>41</v>
      </c>
    </row>
    <row r="38" spans="1:15" ht="15.75" thickBot="1">
      <c r="A38" s="12" t="s">
        <v>338</v>
      </c>
      <c r="B38" s="61" t="s">
        <v>339</v>
      </c>
      <c r="C38" s="64" t="s">
        <v>235</v>
      </c>
      <c r="D38" s="63" t="s">
        <v>36</v>
      </c>
      <c r="E38" s="64" t="s">
        <v>37</v>
      </c>
      <c r="F38" s="63" t="s">
        <v>255</v>
      </c>
      <c r="G38" s="109" t="s">
        <v>340</v>
      </c>
      <c r="H38" s="63" t="s">
        <v>14</v>
      </c>
      <c r="I38" s="64" t="s">
        <v>341</v>
      </c>
      <c r="J38" s="63"/>
      <c r="K38" s="114" t="s">
        <v>247</v>
      </c>
      <c r="L38" s="111">
        <v>70</v>
      </c>
      <c r="M38" s="114" t="s">
        <v>231</v>
      </c>
      <c r="N38" s="111" t="s">
        <v>24</v>
      </c>
      <c r="O38" s="114" t="s">
        <v>37</v>
      </c>
    </row>
    <row r="39" spans="1:15" ht="15.75" thickBot="1">
      <c r="A39" s="12" t="s">
        <v>456</v>
      </c>
      <c r="B39" s="61" t="s">
        <v>457</v>
      </c>
      <c r="C39" s="64" t="s">
        <v>103</v>
      </c>
      <c r="D39" s="63" t="s">
        <v>230</v>
      </c>
      <c r="E39" s="64" t="s">
        <v>301</v>
      </c>
      <c r="F39" s="63" t="s">
        <v>255</v>
      </c>
      <c r="G39" s="109" t="s">
        <v>458</v>
      </c>
      <c r="H39" s="63" t="s">
        <v>233</v>
      </c>
      <c r="I39" s="64" t="s">
        <v>708</v>
      </c>
      <c r="J39" s="63"/>
      <c r="K39" s="114" t="s">
        <v>247</v>
      </c>
      <c r="L39" s="111">
        <v>1.6</v>
      </c>
      <c r="M39" s="114" t="s">
        <v>231</v>
      </c>
      <c r="N39" s="111" t="s">
        <v>24</v>
      </c>
      <c r="O39" s="114" t="s">
        <v>242</v>
      </c>
    </row>
    <row r="40" spans="1:15" ht="15.75" thickBot="1">
      <c r="A40" s="12" t="s">
        <v>342</v>
      </c>
      <c r="B40" s="61" t="s">
        <v>343</v>
      </c>
      <c r="C40" s="64" t="s">
        <v>344</v>
      </c>
      <c r="D40" s="63" t="s">
        <v>12</v>
      </c>
      <c r="E40" s="64" t="s">
        <v>13</v>
      </c>
      <c r="F40" s="63" t="s">
        <v>255</v>
      </c>
      <c r="G40" s="109" t="s">
        <v>344</v>
      </c>
      <c r="H40" s="63" t="s">
        <v>14</v>
      </c>
      <c r="I40" s="64" t="s">
        <v>708</v>
      </c>
      <c r="J40" s="63"/>
      <c r="K40" s="114" t="s">
        <v>247</v>
      </c>
      <c r="L40" s="111">
        <v>121</v>
      </c>
      <c r="M40" s="114" t="s">
        <v>231</v>
      </c>
      <c r="N40" s="111" t="s">
        <v>24</v>
      </c>
      <c r="O40" s="114" t="s">
        <v>13</v>
      </c>
    </row>
    <row r="41" spans="1:15" ht="15.75" thickBot="1">
      <c r="A41" s="12" t="s">
        <v>647</v>
      </c>
      <c r="B41" s="61" t="s">
        <v>648</v>
      </c>
      <c r="C41" s="64" t="s">
        <v>103</v>
      </c>
      <c r="D41" s="63" t="s">
        <v>36</v>
      </c>
      <c r="E41" s="64" t="s">
        <v>37</v>
      </c>
      <c r="F41" s="63" t="s">
        <v>255</v>
      </c>
      <c r="G41" s="109" t="s">
        <v>731</v>
      </c>
      <c r="H41" s="63" t="s">
        <v>233</v>
      </c>
      <c r="I41" s="64" t="s">
        <v>708</v>
      </c>
      <c r="J41" s="63"/>
      <c r="K41" s="114" t="s">
        <v>247</v>
      </c>
      <c r="L41" s="111">
        <v>45</v>
      </c>
      <c r="M41" s="114" t="s">
        <v>231</v>
      </c>
      <c r="N41" s="111" t="s">
        <v>24</v>
      </c>
      <c r="O41" s="114" t="s">
        <v>37</v>
      </c>
    </row>
    <row r="42" spans="1:15" ht="15.75" thickBot="1">
      <c r="A42" s="12" t="s">
        <v>345</v>
      </c>
      <c r="B42" s="61" t="s">
        <v>280</v>
      </c>
      <c r="C42" s="64" t="s">
        <v>346</v>
      </c>
      <c r="D42" s="63" t="s">
        <v>230</v>
      </c>
      <c r="E42" s="64" t="s">
        <v>37</v>
      </c>
      <c r="F42" s="63" t="s">
        <v>282</v>
      </c>
      <c r="G42" s="109" t="s">
        <v>347</v>
      </c>
      <c r="H42" s="63" t="s">
        <v>14</v>
      </c>
      <c r="I42" s="64" t="s">
        <v>708</v>
      </c>
      <c r="J42" s="63"/>
      <c r="K42" s="114" t="s">
        <v>247</v>
      </c>
      <c r="L42" s="111">
        <v>115</v>
      </c>
      <c r="M42" s="114" t="s">
        <v>231</v>
      </c>
      <c r="N42" s="111" t="s">
        <v>24</v>
      </c>
      <c r="O42" s="114" t="s">
        <v>37</v>
      </c>
    </row>
    <row r="43" spans="1:15" ht="15.75" thickBot="1">
      <c r="A43" s="12" t="s">
        <v>348</v>
      </c>
      <c r="B43" s="61" t="s">
        <v>280</v>
      </c>
      <c r="C43" s="64" t="s">
        <v>281</v>
      </c>
      <c r="D43" s="63" t="s">
        <v>230</v>
      </c>
      <c r="E43" s="64" t="s">
        <v>37</v>
      </c>
      <c r="F43" s="63" t="s">
        <v>282</v>
      </c>
      <c r="G43" s="109" t="s">
        <v>349</v>
      </c>
      <c r="H43" s="63" t="s">
        <v>14</v>
      </c>
      <c r="I43" s="64" t="s">
        <v>708</v>
      </c>
      <c r="J43" s="63"/>
      <c r="K43" s="114" t="s">
        <v>247</v>
      </c>
      <c r="L43" s="111">
        <v>300</v>
      </c>
      <c r="M43" s="114" t="s">
        <v>231</v>
      </c>
      <c r="N43" s="111" t="s">
        <v>24</v>
      </c>
      <c r="O43" s="114" t="s">
        <v>37</v>
      </c>
    </row>
    <row r="44" spans="1:15" ht="15.75" thickBot="1">
      <c r="A44" s="12" t="s">
        <v>350</v>
      </c>
      <c r="B44" s="61" t="s">
        <v>351</v>
      </c>
      <c r="C44" s="64" t="s">
        <v>118</v>
      </c>
      <c r="D44" s="63" t="s">
        <v>38</v>
      </c>
      <c r="E44" s="64" t="s">
        <v>37</v>
      </c>
      <c r="F44" s="63" t="s">
        <v>255</v>
      </c>
      <c r="G44" s="109" t="s">
        <v>352</v>
      </c>
      <c r="H44" s="63" t="s">
        <v>14</v>
      </c>
      <c r="I44" s="64" t="s">
        <v>708</v>
      </c>
      <c r="J44" s="63"/>
      <c r="K44" s="114" t="s">
        <v>247</v>
      </c>
      <c r="L44" s="111">
        <v>110</v>
      </c>
      <c r="M44" s="114" t="s">
        <v>231</v>
      </c>
      <c r="N44" s="111" t="s">
        <v>24</v>
      </c>
      <c r="O44" s="114" t="s">
        <v>37</v>
      </c>
    </row>
    <row r="45" spans="1:15" ht="15.75" thickBot="1">
      <c r="A45" s="12" t="s">
        <v>710</v>
      </c>
      <c r="B45" s="61" t="s">
        <v>711</v>
      </c>
      <c r="C45" s="64" t="s">
        <v>230</v>
      </c>
      <c r="D45" s="63" t="s">
        <v>12</v>
      </c>
      <c r="E45" s="64" t="s">
        <v>13</v>
      </c>
      <c r="F45" s="63" t="s">
        <v>255</v>
      </c>
      <c r="G45" s="109" t="s">
        <v>712</v>
      </c>
      <c r="H45" s="63" t="s">
        <v>14</v>
      </c>
      <c r="I45" s="64" t="s">
        <v>708</v>
      </c>
      <c r="J45" s="63" t="s">
        <v>713</v>
      </c>
      <c r="K45" s="114" t="s">
        <v>247</v>
      </c>
      <c r="L45" s="111">
        <v>400</v>
      </c>
      <c r="M45" s="114" t="s">
        <v>231</v>
      </c>
      <c r="N45" s="111" t="s">
        <v>24</v>
      </c>
      <c r="O45" s="114" t="s">
        <v>13</v>
      </c>
    </row>
    <row r="46" spans="1:15" ht="15.75" thickBot="1">
      <c r="A46" s="12" t="s">
        <v>353</v>
      </c>
      <c r="B46" s="61" t="s">
        <v>351</v>
      </c>
      <c r="C46" s="64" t="s">
        <v>118</v>
      </c>
      <c r="D46" s="63" t="s">
        <v>38</v>
      </c>
      <c r="E46" s="64" t="s">
        <v>37</v>
      </c>
      <c r="F46" s="63" t="s">
        <v>255</v>
      </c>
      <c r="G46" s="109" t="s">
        <v>354</v>
      </c>
      <c r="H46" s="63" t="s">
        <v>14</v>
      </c>
      <c r="I46" s="64" t="s">
        <v>708</v>
      </c>
      <c r="J46" s="63"/>
      <c r="K46" s="114" t="s">
        <v>247</v>
      </c>
      <c r="L46" s="111">
        <v>85</v>
      </c>
      <c r="M46" s="114" t="s">
        <v>231</v>
      </c>
      <c r="N46" s="111" t="s">
        <v>24</v>
      </c>
      <c r="O46" s="114" t="s">
        <v>37</v>
      </c>
    </row>
    <row r="47" spans="1:15" ht="15.75" thickBot="1">
      <c r="A47" s="12" t="s">
        <v>649</v>
      </c>
      <c r="B47" s="61" t="s">
        <v>26</v>
      </c>
      <c r="C47" s="64" t="s">
        <v>650</v>
      </c>
      <c r="D47" s="63" t="s">
        <v>8</v>
      </c>
      <c r="E47" s="64" t="s">
        <v>9</v>
      </c>
      <c r="F47" s="63" t="s">
        <v>255</v>
      </c>
      <c r="G47" s="109" t="s">
        <v>651</v>
      </c>
      <c r="H47" s="63" t="s">
        <v>233</v>
      </c>
      <c r="I47" s="64" t="s">
        <v>708</v>
      </c>
      <c r="J47" s="63"/>
      <c r="K47" s="114" t="s">
        <v>247</v>
      </c>
      <c r="L47" s="111">
        <v>28.8</v>
      </c>
      <c r="M47" s="114" t="s">
        <v>231</v>
      </c>
      <c r="N47" s="111" t="s">
        <v>24</v>
      </c>
      <c r="O47" s="114" t="s">
        <v>243</v>
      </c>
    </row>
    <row r="48" spans="1:15" ht="15.75" thickBot="1">
      <c r="A48" s="12" t="s">
        <v>355</v>
      </c>
      <c r="B48" s="61" t="s">
        <v>356</v>
      </c>
      <c r="C48" s="64" t="s">
        <v>103</v>
      </c>
      <c r="D48" s="63" t="s">
        <v>230</v>
      </c>
      <c r="E48" s="64" t="s">
        <v>37</v>
      </c>
      <c r="F48" s="63" t="s">
        <v>255</v>
      </c>
      <c r="G48" s="109" t="s">
        <v>230</v>
      </c>
      <c r="H48" s="63" t="s">
        <v>14</v>
      </c>
      <c r="I48" s="64" t="s">
        <v>708</v>
      </c>
      <c r="J48" s="63" t="s">
        <v>683</v>
      </c>
      <c r="K48" s="114" t="s">
        <v>247</v>
      </c>
      <c r="L48" s="111">
        <v>0</v>
      </c>
      <c r="M48" s="114" t="s">
        <v>232</v>
      </c>
      <c r="N48" s="111" t="s">
        <v>24</v>
      </c>
      <c r="O48" s="114" t="s">
        <v>37</v>
      </c>
    </row>
    <row r="49" spans="1:15" ht="15.75" thickBot="1">
      <c r="A49" s="12" t="s">
        <v>357</v>
      </c>
      <c r="B49" s="61" t="s">
        <v>358</v>
      </c>
      <c r="C49" s="64" t="s">
        <v>310</v>
      </c>
      <c r="D49" s="63" t="s">
        <v>38</v>
      </c>
      <c r="E49" s="64" t="s">
        <v>37</v>
      </c>
      <c r="F49" s="63" t="s">
        <v>255</v>
      </c>
      <c r="G49" s="109" t="s">
        <v>230</v>
      </c>
      <c r="H49" s="63" t="s">
        <v>14</v>
      </c>
      <c r="I49" s="64" t="s">
        <v>708</v>
      </c>
      <c r="J49" s="63" t="s">
        <v>684</v>
      </c>
      <c r="K49" s="114" t="s">
        <v>247</v>
      </c>
      <c r="L49" s="111">
        <v>0</v>
      </c>
      <c r="M49" s="114" t="s">
        <v>232</v>
      </c>
      <c r="N49" s="111" t="s">
        <v>24</v>
      </c>
      <c r="O49" s="114" t="s">
        <v>37</v>
      </c>
    </row>
    <row r="50" spans="1:15" ht="15.75" thickBot="1">
      <c r="A50" s="12" t="s">
        <v>359</v>
      </c>
      <c r="B50" s="61" t="s">
        <v>360</v>
      </c>
      <c r="C50" s="64" t="s">
        <v>361</v>
      </c>
      <c r="D50" s="63" t="s">
        <v>12</v>
      </c>
      <c r="E50" s="64" t="s">
        <v>13</v>
      </c>
      <c r="F50" s="63" t="s">
        <v>255</v>
      </c>
      <c r="G50" s="109" t="s">
        <v>362</v>
      </c>
      <c r="H50" s="63" t="s">
        <v>14</v>
      </c>
      <c r="I50" s="64" t="s">
        <v>708</v>
      </c>
      <c r="J50" s="63"/>
      <c r="K50" s="114" t="s">
        <v>247</v>
      </c>
      <c r="L50" s="111">
        <v>350</v>
      </c>
      <c r="M50" s="114" t="s">
        <v>231</v>
      </c>
      <c r="N50" s="111" t="s">
        <v>24</v>
      </c>
      <c r="O50" s="114" t="s">
        <v>13</v>
      </c>
    </row>
    <row r="51" spans="1:15" ht="15.75" thickBot="1">
      <c r="A51" s="12" t="s">
        <v>652</v>
      </c>
      <c r="B51" s="61" t="s">
        <v>351</v>
      </c>
      <c r="C51" s="64" t="s">
        <v>118</v>
      </c>
      <c r="D51" s="63" t="s">
        <v>38</v>
      </c>
      <c r="E51" s="64" t="s">
        <v>37</v>
      </c>
      <c r="F51" s="63" t="s">
        <v>255</v>
      </c>
      <c r="G51" s="109" t="s">
        <v>379</v>
      </c>
      <c r="H51" s="63" t="s">
        <v>14</v>
      </c>
      <c r="I51" s="64" t="s">
        <v>708</v>
      </c>
      <c r="J51" s="63"/>
      <c r="K51" s="114" t="s">
        <v>247</v>
      </c>
      <c r="L51" s="111">
        <v>250</v>
      </c>
      <c r="M51" s="114" t="s">
        <v>231</v>
      </c>
      <c r="N51" s="111" t="s">
        <v>24</v>
      </c>
      <c r="O51" s="114" t="s">
        <v>37</v>
      </c>
    </row>
    <row r="52" spans="1:15" ht="15.75" thickBot="1">
      <c r="A52" s="12" t="s">
        <v>363</v>
      </c>
      <c r="B52" s="61" t="s">
        <v>364</v>
      </c>
      <c r="C52" s="64" t="s">
        <v>365</v>
      </c>
      <c r="D52" s="63" t="s">
        <v>12</v>
      </c>
      <c r="E52" s="64" t="s">
        <v>13</v>
      </c>
      <c r="F52" s="63" t="s">
        <v>255</v>
      </c>
      <c r="G52" s="109" t="s">
        <v>366</v>
      </c>
      <c r="H52" s="63" t="s">
        <v>14</v>
      </c>
      <c r="I52" s="64" t="s">
        <v>708</v>
      </c>
      <c r="J52" s="63" t="s">
        <v>685</v>
      </c>
      <c r="K52" s="114" t="s">
        <v>247</v>
      </c>
      <c r="L52" s="111">
        <v>1000</v>
      </c>
      <c r="M52" s="114" t="s">
        <v>231</v>
      </c>
      <c r="N52" s="111" t="s">
        <v>24</v>
      </c>
      <c r="O52" s="114" t="s">
        <v>13</v>
      </c>
    </row>
    <row r="53" spans="1:15" ht="15.75" thickBot="1">
      <c r="A53" s="12" t="s">
        <v>367</v>
      </c>
      <c r="B53" s="61" t="s">
        <v>52</v>
      </c>
      <c r="C53" s="64" t="s">
        <v>103</v>
      </c>
      <c r="D53" s="63" t="s">
        <v>15</v>
      </c>
      <c r="E53" s="64" t="s">
        <v>16</v>
      </c>
      <c r="F53" s="63" t="s">
        <v>255</v>
      </c>
      <c r="G53" s="109" t="s">
        <v>230</v>
      </c>
      <c r="H53" s="63" t="s">
        <v>10</v>
      </c>
      <c r="I53" s="64" t="s">
        <v>708</v>
      </c>
      <c r="J53" s="63"/>
      <c r="K53" s="114" t="s">
        <v>247</v>
      </c>
      <c r="L53" s="111">
        <v>0</v>
      </c>
      <c r="M53" s="114" t="s">
        <v>232</v>
      </c>
      <c r="N53" s="111" t="s">
        <v>24</v>
      </c>
      <c r="O53" s="114" t="s">
        <v>15</v>
      </c>
    </row>
    <row r="54" spans="1:15" ht="15.75" thickBot="1">
      <c r="A54" s="12" t="s">
        <v>368</v>
      </c>
      <c r="B54" s="61" t="s">
        <v>280</v>
      </c>
      <c r="C54" s="64" t="s">
        <v>369</v>
      </c>
      <c r="D54" s="63" t="s">
        <v>36</v>
      </c>
      <c r="E54" s="64" t="s">
        <v>37</v>
      </c>
      <c r="F54" s="63" t="s">
        <v>282</v>
      </c>
      <c r="G54" s="109" t="s">
        <v>290</v>
      </c>
      <c r="H54" s="63" t="s">
        <v>14</v>
      </c>
      <c r="I54" s="64" t="s">
        <v>708</v>
      </c>
      <c r="J54" s="63"/>
      <c r="K54" s="114" t="s">
        <v>247</v>
      </c>
      <c r="L54" s="111">
        <v>100</v>
      </c>
      <c r="M54" s="114" t="s">
        <v>231</v>
      </c>
      <c r="N54" s="111" t="s">
        <v>24</v>
      </c>
      <c r="O54" s="114" t="s">
        <v>37</v>
      </c>
    </row>
    <row r="55" spans="1:15" ht="15.75" thickBot="1">
      <c r="A55" s="12" t="s">
        <v>370</v>
      </c>
      <c r="B55" s="61" t="s">
        <v>275</v>
      </c>
      <c r="C55" s="64" t="s">
        <v>290</v>
      </c>
      <c r="D55" s="63" t="s">
        <v>36</v>
      </c>
      <c r="E55" s="64" t="s">
        <v>37</v>
      </c>
      <c r="F55" s="63" t="s">
        <v>255</v>
      </c>
      <c r="G55" s="109" t="s">
        <v>290</v>
      </c>
      <c r="H55" s="63" t="s">
        <v>14</v>
      </c>
      <c r="I55" s="64" t="s">
        <v>708</v>
      </c>
      <c r="J55" s="63"/>
      <c r="K55" s="114" t="s">
        <v>247</v>
      </c>
      <c r="L55" s="111">
        <v>100</v>
      </c>
      <c r="M55" s="114" t="s">
        <v>231</v>
      </c>
      <c r="N55" s="111" t="s">
        <v>24</v>
      </c>
      <c r="O55" s="114" t="s">
        <v>37</v>
      </c>
    </row>
    <row r="56" spans="1:15" ht="15.75" thickBot="1">
      <c r="A56" s="12" t="s">
        <v>371</v>
      </c>
      <c r="B56" s="61" t="s">
        <v>372</v>
      </c>
      <c r="C56" s="64" t="s">
        <v>310</v>
      </c>
      <c r="D56" s="63" t="s">
        <v>38</v>
      </c>
      <c r="E56" s="64" t="s">
        <v>37</v>
      </c>
      <c r="F56" s="63" t="s">
        <v>255</v>
      </c>
      <c r="G56" s="109" t="s">
        <v>230</v>
      </c>
      <c r="H56" s="63" t="s">
        <v>14</v>
      </c>
      <c r="I56" s="64" t="s">
        <v>708</v>
      </c>
      <c r="J56" s="63" t="s">
        <v>686</v>
      </c>
      <c r="K56" s="114" t="s">
        <v>247</v>
      </c>
      <c r="L56" s="111">
        <v>0</v>
      </c>
      <c r="M56" s="114" t="s">
        <v>232</v>
      </c>
      <c r="N56" s="111" t="s">
        <v>24</v>
      </c>
      <c r="O56" s="114" t="s">
        <v>37</v>
      </c>
    </row>
    <row r="57" spans="1:15" ht="15.75" thickBot="1">
      <c r="A57" s="12" t="s">
        <v>373</v>
      </c>
      <c r="B57" s="61" t="s">
        <v>374</v>
      </c>
      <c r="C57" s="64" t="s">
        <v>103</v>
      </c>
      <c r="D57" s="63" t="s">
        <v>36</v>
      </c>
      <c r="E57" s="64" t="s">
        <v>37</v>
      </c>
      <c r="F57" s="63" t="s">
        <v>255</v>
      </c>
      <c r="G57" s="109" t="s">
        <v>375</v>
      </c>
      <c r="H57" s="63" t="s">
        <v>233</v>
      </c>
      <c r="I57" s="64" t="s">
        <v>708</v>
      </c>
      <c r="J57" s="63"/>
      <c r="K57" s="114" t="s">
        <v>247</v>
      </c>
      <c r="L57" s="111">
        <v>25</v>
      </c>
      <c r="M57" s="114" t="s">
        <v>231</v>
      </c>
      <c r="N57" s="111" t="s">
        <v>24</v>
      </c>
      <c r="O57" s="114" t="s">
        <v>37</v>
      </c>
    </row>
    <row r="58" spans="1:15" ht="15.75" thickBot="1">
      <c r="A58" s="12" t="s">
        <v>459</v>
      </c>
      <c r="B58" s="61" t="s">
        <v>460</v>
      </c>
      <c r="C58" s="64" t="s">
        <v>103</v>
      </c>
      <c r="D58" s="63" t="s">
        <v>36</v>
      </c>
      <c r="E58" s="64" t="s">
        <v>37</v>
      </c>
      <c r="F58" s="63" t="s">
        <v>255</v>
      </c>
      <c r="G58" s="109" t="s">
        <v>113</v>
      </c>
      <c r="H58" s="63" t="s">
        <v>233</v>
      </c>
      <c r="I58" s="64" t="s">
        <v>708</v>
      </c>
      <c r="J58" s="63"/>
      <c r="K58" s="114" t="s">
        <v>247</v>
      </c>
      <c r="L58" s="111">
        <v>5</v>
      </c>
      <c r="M58" s="114" t="s">
        <v>231</v>
      </c>
      <c r="N58" s="111" t="s">
        <v>24</v>
      </c>
      <c r="O58" s="114" t="s">
        <v>37</v>
      </c>
    </row>
    <row r="59" spans="1:15" ht="15.75" thickBot="1">
      <c r="A59" s="12" t="s">
        <v>376</v>
      </c>
      <c r="B59" s="61" t="s">
        <v>280</v>
      </c>
      <c r="C59" s="64" t="s">
        <v>297</v>
      </c>
      <c r="D59" s="63" t="s">
        <v>36</v>
      </c>
      <c r="E59" s="64" t="s">
        <v>37</v>
      </c>
      <c r="F59" s="63" t="s">
        <v>282</v>
      </c>
      <c r="G59" s="109" t="s">
        <v>290</v>
      </c>
      <c r="H59" s="63" t="s">
        <v>14</v>
      </c>
      <c r="I59" s="64" t="s">
        <v>708</v>
      </c>
      <c r="J59" s="63"/>
      <c r="K59" s="114" t="s">
        <v>247</v>
      </c>
      <c r="L59" s="111">
        <v>100</v>
      </c>
      <c r="M59" s="114" t="s">
        <v>231</v>
      </c>
      <c r="N59" s="111" t="s">
        <v>24</v>
      </c>
      <c r="O59" s="114" t="s">
        <v>37</v>
      </c>
    </row>
    <row r="60" spans="1:15" ht="15.75" thickBot="1">
      <c r="A60" s="12" t="s">
        <v>461</v>
      </c>
      <c r="B60" s="61" t="s">
        <v>462</v>
      </c>
      <c r="C60" s="64" t="s">
        <v>103</v>
      </c>
      <c r="D60" s="63" t="s">
        <v>36</v>
      </c>
      <c r="E60" s="64" t="s">
        <v>37</v>
      </c>
      <c r="F60" s="63" t="s">
        <v>255</v>
      </c>
      <c r="G60" s="109" t="s">
        <v>463</v>
      </c>
      <c r="H60" s="63" t="s">
        <v>14</v>
      </c>
      <c r="I60" s="64" t="s">
        <v>708</v>
      </c>
      <c r="J60" s="63"/>
      <c r="K60" s="114" t="s">
        <v>247</v>
      </c>
      <c r="L60" s="111">
        <v>60</v>
      </c>
      <c r="M60" s="114" t="s">
        <v>231</v>
      </c>
      <c r="N60" s="111" t="s">
        <v>24</v>
      </c>
      <c r="O60" s="114" t="s">
        <v>37</v>
      </c>
    </row>
    <row r="61" spans="1:15" ht="15.75" thickBot="1">
      <c r="A61" s="12" t="s">
        <v>660</v>
      </c>
      <c r="B61" s="61" t="s">
        <v>230</v>
      </c>
      <c r="C61" s="64" t="s">
        <v>103</v>
      </c>
      <c r="D61" s="63" t="s">
        <v>36</v>
      </c>
      <c r="E61" s="64" t="s">
        <v>37</v>
      </c>
      <c r="F61" s="63" t="s">
        <v>255</v>
      </c>
      <c r="G61" s="109" t="s">
        <v>661</v>
      </c>
      <c r="H61" s="63" t="s">
        <v>14</v>
      </c>
      <c r="I61" s="64" t="s">
        <v>708</v>
      </c>
      <c r="J61" s="63"/>
      <c r="K61" s="114" t="s">
        <v>247</v>
      </c>
      <c r="L61" s="111">
        <v>105</v>
      </c>
      <c r="M61" s="114" t="s">
        <v>231</v>
      </c>
      <c r="N61" s="111" t="s">
        <v>24</v>
      </c>
      <c r="O61" s="114" t="s">
        <v>37</v>
      </c>
    </row>
    <row r="62" spans="1:15" ht="15.75" thickBot="1">
      <c r="A62" s="12" t="s">
        <v>714</v>
      </c>
      <c r="B62" s="61" t="s">
        <v>715</v>
      </c>
      <c r="C62" s="64" t="s">
        <v>230</v>
      </c>
      <c r="D62" s="63" t="s">
        <v>36</v>
      </c>
      <c r="E62" s="64" t="s">
        <v>37</v>
      </c>
      <c r="F62" s="63" t="s">
        <v>255</v>
      </c>
      <c r="G62" s="109" t="s">
        <v>716</v>
      </c>
      <c r="H62" s="63" t="s">
        <v>14</v>
      </c>
      <c r="I62" s="64" t="s">
        <v>708</v>
      </c>
      <c r="J62" s="63" t="s">
        <v>717</v>
      </c>
      <c r="K62" s="114" t="s">
        <v>247</v>
      </c>
      <c r="L62" s="111">
        <v>800</v>
      </c>
      <c r="M62" s="114" t="s">
        <v>231</v>
      </c>
      <c r="N62" s="111" t="s">
        <v>24</v>
      </c>
      <c r="O62" s="114" t="s">
        <v>37</v>
      </c>
    </row>
    <row r="63" spans="1:15" ht="15.75" thickBot="1">
      <c r="A63" s="12" t="s">
        <v>377</v>
      </c>
      <c r="B63" s="61" t="s">
        <v>378</v>
      </c>
      <c r="C63" s="64" t="s">
        <v>103</v>
      </c>
      <c r="D63" s="63" t="s">
        <v>8</v>
      </c>
      <c r="E63" s="64" t="s">
        <v>704</v>
      </c>
      <c r="F63" s="63" t="s">
        <v>255</v>
      </c>
      <c r="G63" s="109" t="s">
        <v>379</v>
      </c>
      <c r="H63" s="63" t="s">
        <v>10</v>
      </c>
      <c r="I63" s="64" t="s">
        <v>380</v>
      </c>
      <c r="J63" s="63"/>
      <c r="K63" s="114" t="s">
        <v>247</v>
      </c>
      <c r="L63" s="111">
        <v>250</v>
      </c>
      <c r="M63" s="114" t="s">
        <v>231</v>
      </c>
      <c r="N63" s="111" t="s">
        <v>24</v>
      </c>
      <c r="O63" s="114" t="s">
        <v>241</v>
      </c>
    </row>
    <row r="64" spans="1:15" ht="15.75" thickBot="1">
      <c r="A64" s="12" t="s">
        <v>381</v>
      </c>
      <c r="B64" s="61" t="s">
        <v>382</v>
      </c>
      <c r="C64" s="64" t="s">
        <v>230</v>
      </c>
      <c r="D64" s="63" t="s">
        <v>12</v>
      </c>
      <c r="E64" s="64" t="s">
        <v>13</v>
      </c>
      <c r="F64" s="63" t="s">
        <v>255</v>
      </c>
      <c r="G64" s="109" t="s">
        <v>383</v>
      </c>
      <c r="H64" s="63" t="s">
        <v>14</v>
      </c>
      <c r="I64" s="64" t="s">
        <v>384</v>
      </c>
      <c r="J64" s="63" t="s">
        <v>687</v>
      </c>
      <c r="K64" s="114" t="s">
        <v>247</v>
      </c>
      <c r="L64" s="111">
        <v>500</v>
      </c>
      <c r="M64" s="114" t="s">
        <v>231</v>
      </c>
      <c r="N64" s="111" t="s">
        <v>24</v>
      </c>
      <c r="O64" s="114" t="s">
        <v>13</v>
      </c>
    </row>
    <row r="65" spans="1:15" ht="15.75" thickBot="1">
      <c r="A65" s="12" t="s">
        <v>385</v>
      </c>
      <c r="B65" s="61" t="s">
        <v>378</v>
      </c>
      <c r="C65" s="64" t="s">
        <v>103</v>
      </c>
      <c r="D65" s="63" t="s">
        <v>8</v>
      </c>
      <c r="E65" s="64" t="s">
        <v>704</v>
      </c>
      <c r="F65" s="63" t="s">
        <v>255</v>
      </c>
      <c r="G65" s="109" t="s">
        <v>383</v>
      </c>
      <c r="H65" s="63" t="s">
        <v>10</v>
      </c>
      <c r="I65" s="64" t="s">
        <v>708</v>
      </c>
      <c r="J65" s="63"/>
      <c r="K65" s="114" t="s">
        <v>247</v>
      </c>
      <c r="L65" s="111">
        <v>500</v>
      </c>
      <c r="M65" s="114" t="s">
        <v>231</v>
      </c>
      <c r="N65" s="111" t="s">
        <v>24</v>
      </c>
      <c r="O65" s="114" t="s">
        <v>241</v>
      </c>
    </row>
    <row r="66" spans="1:15" ht="15.75" thickBot="1">
      <c r="A66" s="12" t="s">
        <v>386</v>
      </c>
      <c r="B66" s="61" t="s">
        <v>351</v>
      </c>
      <c r="C66" s="64" t="s">
        <v>118</v>
      </c>
      <c r="D66" s="63" t="s">
        <v>38</v>
      </c>
      <c r="E66" s="64" t="s">
        <v>37</v>
      </c>
      <c r="F66" s="63" t="s">
        <v>255</v>
      </c>
      <c r="G66" s="109" t="s">
        <v>387</v>
      </c>
      <c r="H66" s="63" t="s">
        <v>14</v>
      </c>
      <c r="I66" s="64" t="s">
        <v>708</v>
      </c>
      <c r="J66" s="63" t="s">
        <v>688</v>
      </c>
      <c r="K66" s="114" t="s">
        <v>247</v>
      </c>
      <c r="L66" s="111">
        <v>80</v>
      </c>
      <c r="M66" s="114" t="s">
        <v>231</v>
      </c>
      <c r="N66" s="111" t="s">
        <v>24</v>
      </c>
      <c r="O66" s="114" t="s">
        <v>37</v>
      </c>
    </row>
    <row r="67" spans="1:15" ht="15.75" thickBot="1">
      <c r="A67" s="12" t="s">
        <v>388</v>
      </c>
      <c r="B67" s="61" t="s">
        <v>389</v>
      </c>
      <c r="C67" s="64" t="s">
        <v>390</v>
      </c>
      <c r="D67" s="63" t="s">
        <v>12</v>
      </c>
      <c r="E67" s="64" t="s">
        <v>13</v>
      </c>
      <c r="F67" s="63" t="s">
        <v>255</v>
      </c>
      <c r="G67" s="109" t="s">
        <v>391</v>
      </c>
      <c r="H67" s="63" t="s">
        <v>14</v>
      </c>
      <c r="I67" s="64" t="s">
        <v>708</v>
      </c>
      <c r="J67" s="63"/>
      <c r="K67" s="114" t="s">
        <v>247</v>
      </c>
      <c r="L67" s="111">
        <v>231</v>
      </c>
      <c r="M67" s="114" t="s">
        <v>231</v>
      </c>
      <c r="N67" s="111" t="s">
        <v>24</v>
      </c>
      <c r="O67" s="114" t="s">
        <v>13</v>
      </c>
    </row>
    <row r="68" spans="1:15" ht="15.75" thickBot="1">
      <c r="A68" s="12" t="s">
        <v>392</v>
      </c>
      <c r="B68" s="61" t="s">
        <v>392</v>
      </c>
      <c r="C68" s="64" t="s">
        <v>662</v>
      </c>
      <c r="D68" s="63" t="s">
        <v>230</v>
      </c>
      <c r="E68" s="64" t="s">
        <v>37</v>
      </c>
      <c r="F68" s="63" t="s">
        <v>393</v>
      </c>
      <c r="G68" s="109" t="s">
        <v>394</v>
      </c>
      <c r="H68" s="63" t="s">
        <v>233</v>
      </c>
      <c r="I68" s="64" t="s">
        <v>708</v>
      </c>
      <c r="J68" s="63"/>
      <c r="K68" s="114" t="s">
        <v>247</v>
      </c>
      <c r="L68" s="111">
        <v>22</v>
      </c>
      <c r="M68" s="114" t="s">
        <v>231</v>
      </c>
      <c r="N68" s="111" t="s">
        <v>24</v>
      </c>
      <c r="O68" s="114" t="s">
        <v>37</v>
      </c>
    </row>
    <row r="69" spans="1:15" ht="15.75" thickBot="1">
      <c r="A69" s="12" t="s">
        <v>718</v>
      </c>
      <c r="B69" s="61" t="s">
        <v>719</v>
      </c>
      <c r="C69" s="64" t="s">
        <v>230</v>
      </c>
      <c r="D69" s="63" t="s">
        <v>36</v>
      </c>
      <c r="E69" s="64" t="s">
        <v>37</v>
      </c>
      <c r="F69" s="63" t="s">
        <v>255</v>
      </c>
      <c r="G69" s="109" t="s">
        <v>720</v>
      </c>
      <c r="H69" s="63" t="s">
        <v>14</v>
      </c>
      <c r="I69" s="64" t="s">
        <v>708</v>
      </c>
      <c r="J69" s="63" t="s">
        <v>721</v>
      </c>
      <c r="K69" s="114" t="s">
        <v>247</v>
      </c>
      <c r="L69" s="111">
        <v>160</v>
      </c>
      <c r="M69" s="114" t="s">
        <v>231</v>
      </c>
      <c r="N69" s="111" t="s">
        <v>24</v>
      </c>
      <c r="O69" s="114" t="s">
        <v>37</v>
      </c>
    </row>
    <row r="70" spans="1:15" ht="15.75" thickBot="1">
      <c r="A70" s="12" t="s">
        <v>653</v>
      </c>
      <c r="B70" s="61" t="s">
        <v>654</v>
      </c>
      <c r="C70" s="64" t="s">
        <v>655</v>
      </c>
      <c r="D70" s="63" t="s">
        <v>38</v>
      </c>
      <c r="E70" s="64" t="s">
        <v>37</v>
      </c>
      <c r="F70" s="63" t="s">
        <v>255</v>
      </c>
      <c r="G70" s="109" t="s">
        <v>656</v>
      </c>
      <c r="H70" s="63" t="s">
        <v>14</v>
      </c>
      <c r="I70" s="64" t="s">
        <v>708</v>
      </c>
      <c r="J70" s="63"/>
      <c r="K70" s="114" t="s">
        <v>247</v>
      </c>
      <c r="L70" s="111">
        <v>29.9</v>
      </c>
      <c r="M70" s="114" t="s">
        <v>231</v>
      </c>
      <c r="N70" s="111" t="s">
        <v>24</v>
      </c>
      <c r="O70" s="114" t="s">
        <v>37</v>
      </c>
    </row>
    <row r="71" spans="1:15" ht="15.75" thickBot="1">
      <c r="A71" s="12" t="s">
        <v>395</v>
      </c>
      <c r="B71" s="61" t="s">
        <v>396</v>
      </c>
      <c r="C71" s="64" t="s">
        <v>397</v>
      </c>
      <c r="D71" s="63" t="s">
        <v>12</v>
      </c>
      <c r="E71" s="64" t="s">
        <v>13</v>
      </c>
      <c r="F71" s="63" t="s">
        <v>255</v>
      </c>
      <c r="G71" s="109" t="s">
        <v>398</v>
      </c>
      <c r="H71" s="63" t="s">
        <v>14</v>
      </c>
      <c r="I71" s="64" t="s">
        <v>399</v>
      </c>
      <c r="J71" s="63"/>
      <c r="K71" s="114" t="s">
        <v>247</v>
      </c>
      <c r="L71" s="111">
        <v>327</v>
      </c>
      <c r="M71" s="114" t="s">
        <v>231</v>
      </c>
      <c r="N71" s="111" t="s">
        <v>24</v>
      </c>
      <c r="O71" s="114" t="s">
        <v>13</v>
      </c>
    </row>
    <row r="72" spans="1:15" ht="15.75" thickBot="1">
      <c r="A72" s="12" t="s">
        <v>400</v>
      </c>
      <c r="B72" s="61" t="s">
        <v>401</v>
      </c>
      <c r="C72" s="64" t="s">
        <v>349</v>
      </c>
      <c r="D72" s="63" t="s">
        <v>36</v>
      </c>
      <c r="E72" s="64" t="s">
        <v>37</v>
      </c>
      <c r="F72" s="63" t="s">
        <v>255</v>
      </c>
      <c r="G72" s="109" t="s">
        <v>349</v>
      </c>
      <c r="H72" s="63" t="s">
        <v>14</v>
      </c>
      <c r="I72" s="64" t="s">
        <v>708</v>
      </c>
      <c r="J72" s="63"/>
      <c r="K72" s="114" t="s">
        <v>247</v>
      </c>
      <c r="L72" s="111">
        <v>300</v>
      </c>
      <c r="M72" s="114" t="s">
        <v>231</v>
      </c>
      <c r="N72" s="111" t="s">
        <v>24</v>
      </c>
      <c r="O72" s="114" t="s">
        <v>37</v>
      </c>
    </row>
    <row r="73" spans="1:15" ht="15.75" thickBot="1">
      <c r="A73" s="12" t="s">
        <v>402</v>
      </c>
      <c r="B73" s="61" t="s">
        <v>403</v>
      </c>
      <c r="C73" s="64" t="s">
        <v>119</v>
      </c>
      <c r="D73" s="63" t="s">
        <v>230</v>
      </c>
      <c r="E73" s="64" t="s">
        <v>17</v>
      </c>
      <c r="F73" s="63" t="s">
        <v>255</v>
      </c>
      <c r="G73" s="109" t="s">
        <v>230</v>
      </c>
      <c r="H73" s="63" t="s">
        <v>10</v>
      </c>
      <c r="I73" s="64" t="s">
        <v>708</v>
      </c>
      <c r="J73" s="63"/>
      <c r="K73" s="114" t="s">
        <v>247</v>
      </c>
      <c r="L73" s="111">
        <v>0</v>
      </c>
      <c r="M73" s="114" t="s">
        <v>232</v>
      </c>
      <c r="N73" s="111" t="s">
        <v>24</v>
      </c>
      <c r="O73" s="114" t="s">
        <v>17</v>
      </c>
    </row>
    <row r="74" spans="1:15" ht="15.75" thickBot="1">
      <c r="A74" s="12" t="s">
        <v>404</v>
      </c>
      <c r="B74" s="61" t="s">
        <v>26</v>
      </c>
      <c r="C74" s="64" t="s">
        <v>103</v>
      </c>
      <c r="D74" s="63" t="s">
        <v>53</v>
      </c>
      <c r="E74" s="64" t="s">
        <v>17</v>
      </c>
      <c r="F74" s="63" t="s">
        <v>255</v>
      </c>
      <c r="G74" s="109" t="s">
        <v>405</v>
      </c>
      <c r="H74" s="63" t="s">
        <v>10</v>
      </c>
      <c r="I74" s="64" t="s">
        <v>708</v>
      </c>
      <c r="J74" s="63"/>
      <c r="K74" s="114" t="s">
        <v>247</v>
      </c>
      <c r="L74" s="111">
        <v>2000</v>
      </c>
      <c r="M74" s="114" t="s">
        <v>231</v>
      </c>
      <c r="N74" s="111" t="s">
        <v>24</v>
      </c>
      <c r="O74" s="114" t="s">
        <v>17</v>
      </c>
    </row>
    <row r="75" spans="1:15" ht="15.75" thickBot="1">
      <c r="A75" s="12" t="s">
        <v>406</v>
      </c>
      <c r="B75" s="61" t="s">
        <v>277</v>
      </c>
      <c r="C75" s="64" t="s">
        <v>103</v>
      </c>
      <c r="D75" s="63" t="s">
        <v>38</v>
      </c>
      <c r="E75" s="64" t="s">
        <v>37</v>
      </c>
      <c r="F75" s="63" t="s">
        <v>255</v>
      </c>
      <c r="G75" s="109" t="s">
        <v>278</v>
      </c>
      <c r="H75" s="63" t="s">
        <v>233</v>
      </c>
      <c r="I75" s="64" t="s">
        <v>708</v>
      </c>
      <c r="J75" s="63"/>
      <c r="K75" s="114" t="s">
        <v>247</v>
      </c>
      <c r="L75" s="111">
        <v>120</v>
      </c>
      <c r="M75" s="114" t="s">
        <v>231</v>
      </c>
      <c r="N75" s="111" t="s">
        <v>24</v>
      </c>
      <c r="O75" s="114" t="s">
        <v>37</v>
      </c>
    </row>
    <row r="76" spans="1:15" ht="15.75" thickBot="1">
      <c r="A76" s="12" t="s">
        <v>464</v>
      </c>
      <c r="B76" s="61" t="s">
        <v>465</v>
      </c>
      <c r="C76" s="64" t="s">
        <v>103</v>
      </c>
      <c r="D76" s="63" t="s">
        <v>36</v>
      </c>
      <c r="E76" s="64" t="s">
        <v>37</v>
      </c>
      <c r="F76" s="63" t="s">
        <v>255</v>
      </c>
      <c r="G76" s="109" t="s">
        <v>113</v>
      </c>
      <c r="H76" s="63" t="s">
        <v>233</v>
      </c>
      <c r="I76" s="64" t="s">
        <v>708</v>
      </c>
      <c r="J76" s="63"/>
      <c r="K76" s="114" t="s">
        <v>247</v>
      </c>
      <c r="L76" s="111">
        <v>5</v>
      </c>
      <c r="M76" s="114" t="s">
        <v>231</v>
      </c>
      <c r="N76" s="111" t="s">
        <v>24</v>
      </c>
      <c r="O76" s="114" t="s">
        <v>37</v>
      </c>
    </row>
    <row r="77" spans="1:15" ht="15.75" thickBot="1">
      <c r="A77" s="12" t="s">
        <v>407</v>
      </c>
      <c r="B77" s="61" t="s">
        <v>408</v>
      </c>
      <c r="C77" s="64" t="s">
        <v>409</v>
      </c>
      <c r="D77" s="63" t="s">
        <v>36</v>
      </c>
      <c r="E77" s="64" t="s">
        <v>37</v>
      </c>
      <c r="F77" s="63" t="s">
        <v>255</v>
      </c>
      <c r="G77" s="109" t="s">
        <v>409</v>
      </c>
      <c r="H77" s="63" t="s">
        <v>14</v>
      </c>
      <c r="I77" s="64" t="s">
        <v>708</v>
      </c>
      <c r="J77" s="63"/>
      <c r="K77" s="114" t="s">
        <v>247</v>
      </c>
      <c r="L77" s="111">
        <v>600</v>
      </c>
      <c r="M77" s="114" t="s">
        <v>231</v>
      </c>
      <c r="N77" s="111" t="s">
        <v>24</v>
      </c>
      <c r="O77" s="114" t="s">
        <v>37</v>
      </c>
    </row>
    <row r="78" spans="1:15" ht="15.75" thickBot="1">
      <c r="A78" s="12" t="s">
        <v>410</v>
      </c>
      <c r="B78" s="61" t="s">
        <v>411</v>
      </c>
      <c r="C78" s="64" t="s">
        <v>410</v>
      </c>
      <c r="D78" s="63" t="s">
        <v>38</v>
      </c>
      <c r="E78" s="64" t="s">
        <v>37</v>
      </c>
      <c r="F78" s="63" t="s">
        <v>282</v>
      </c>
      <c r="G78" s="109" t="s">
        <v>412</v>
      </c>
      <c r="H78" s="63" t="s">
        <v>14</v>
      </c>
      <c r="I78" s="64" t="s">
        <v>708</v>
      </c>
      <c r="J78" s="63" t="s">
        <v>689</v>
      </c>
      <c r="K78" s="114" t="s">
        <v>247</v>
      </c>
      <c r="L78" s="111">
        <v>200</v>
      </c>
      <c r="M78" s="114" t="s">
        <v>231</v>
      </c>
      <c r="N78" s="111" t="s">
        <v>24</v>
      </c>
      <c r="O78" s="114" t="s">
        <v>37</v>
      </c>
    </row>
    <row r="79" spans="1:15" ht="15.75" thickBot="1">
      <c r="A79" s="12" t="s">
        <v>413</v>
      </c>
      <c r="B79" s="61" t="s">
        <v>414</v>
      </c>
      <c r="C79" s="64" t="s">
        <v>346</v>
      </c>
      <c r="D79" s="63" t="s">
        <v>36</v>
      </c>
      <c r="E79" s="64" t="s">
        <v>37</v>
      </c>
      <c r="F79" s="63" t="s">
        <v>282</v>
      </c>
      <c r="G79" s="109" t="s">
        <v>288</v>
      </c>
      <c r="H79" s="63" t="s">
        <v>14</v>
      </c>
      <c r="I79" s="64" t="s">
        <v>708</v>
      </c>
      <c r="J79" s="63"/>
      <c r="K79" s="114" t="s">
        <v>247</v>
      </c>
      <c r="L79" s="111">
        <v>150</v>
      </c>
      <c r="M79" s="114" t="s">
        <v>231</v>
      </c>
      <c r="N79" s="111" t="s">
        <v>24</v>
      </c>
      <c r="O79" s="114" t="s">
        <v>37</v>
      </c>
    </row>
    <row r="80" spans="1:15" ht="15.75" thickBot="1">
      <c r="A80" s="12" t="s">
        <v>415</v>
      </c>
      <c r="B80" s="61" t="s">
        <v>320</v>
      </c>
      <c r="C80" s="64" t="s">
        <v>103</v>
      </c>
      <c r="D80" s="63" t="s">
        <v>36</v>
      </c>
      <c r="E80" s="64" t="s">
        <v>37</v>
      </c>
      <c r="F80" s="63" t="s">
        <v>255</v>
      </c>
      <c r="G80" s="109" t="s">
        <v>335</v>
      </c>
      <c r="H80" s="63" t="s">
        <v>14</v>
      </c>
      <c r="I80" s="64" t="s">
        <v>708</v>
      </c>
      <c r="J80" s="63"/>
      <c r="K80" s="114" t="s">
        <v>247</v>
      </c>
      <c r="L80" s="111">
        <v>90</v>
      </c>
      <c r="M80" s="114" t="s">
        <v>231</v>
      </c>
      <c r="N80" s="111" t="s">
        <v>24</v>
      </c>
      <c r="O80" s="114" t="s">
        <v>37</v>
      </c>
    </row>
    <row r="81" spans="1:15" ht="15.75" thickBot="1">
      <c r="A81" s="12" t="s">
        <v>416</v>
      </c>
      <c r="B81" s="61" t="s">
        <v>20</v>
      </c>
      <c r="C81" s="64" t="s">
        <v>103</v>
      </c>
      <c r="D81" s="63" t="s">
        <v>15</v>
      </c>
      <c r="E81" s="64" t="s">
        <v>16</v>
      </c>
      <c r="F81" s="63" t="s">
        <v>255</v>
      </c>
      <c r="G81" s="109" t="s">
        <v>230</v>
      </c>
      <c r="H81" s="63" t="s">
        <v>10</v>
      </c>
      <c r="I81" s="64" t="s">
        <v>708</v>
      </c>
      <c r="J81" s="63"/>
      <c r="K81" s="114" t="s">
        <v>247</v>
      </c>
      <c r="L81" s="111"/>
      <c r="M81" s="114" t="s">
        <v>231</v>
      </c>
      <c r="N81" s="111" t="s">
        <v>24</v>
      </c>
      <c r="O81" s="114" t="s">
        <v>15</v>
      </c>
    </row>
    <row r="82" spans="1:15" ht="15.75" thickBot="1">
      <c r="A82" s="12" t="s">
        <v>417</v>
      </c>
      <c r="B82" s="61" t="s">
        <v>418</v>
      </c>
      <c r="C82" s="64" t="s">
        <v>103</v>
      </c>
      <c r="D82" s="63" t="s">
        <v>230</v>
      </c>
      <c r="E82" s="64" t="s">
        <v>419</v>
      </c>
      <c r="F82" s="63" t="s">
        <v>255</v>
      </c>
      <c r="G82" s="109" t="s">
        <v>117</v>
      </c>
      <c r="H82" s="63" t="s">
        <v>10</v>
      </c>
      <c r="I82" s="64" t="s">
        <v>708</v>
      </c>
      <c r="J82" s="63"/>
      <c r="K82" s="114" t="s">
        <v>247</v>
      </c>
      <c r="L82" s="111">
        <v>32</v>
      </c>
      <c r="M82" s="114" t="s">
        <v>231</v>
      </c>
      <c r="N82" s="111" t="s">
        <v>24</v>
      </c>
      <c r="O82" s="114" t="s">
        <v>242</v>
      </c>
    </row>
    <row r="83" spans="1:15" ht="15.75" thickBot="1">
      <c r="A83" s="12" t="s">
        <v>466</v>
      </c>
      <c r="B83" s="61" t="s">
        <v>420</v>
      </c>
      <c r="C83" s="64" t="s">
        <v>37</v>
      </c>
      <c r="D83" s="63" t="s">
        <v>36</v>
      </c>
      <c r="E83" s="64" t="s">
        <v>37</v>
      </c>
      <c r="F83" s="63" t="s">
        <v>255</v>
      </c>
      <c r="G83" s="109" t="s">
        <v>115</v>
      </c>
      <c r="H83" s="63" t="s">
        <v>14</v>
      </c>
      <c r="I83" s="64" t="s">
        <v>708</v>
      </c>
      <c r="J83" s="63" t="s">
        <v>690</v>
      </c>
      <c r="K83" s="114" t="s">
        <v>247</v>
      </c>
      <c r="L83" s="111">
        <v>10</v>
      </c>
      <c r="M83" s="114" t="s">
        <v>231</v>
      </c>
      <c r="N83" s="111" t="s">
        <v>24</v>
      </c>
      <c r="O83" s="114" t="s">
        <v>37</v>
      </c>
    </row>
    <row r="84" spans="1:15" ht="15.75" thickBot="1">
      <c r="A84" s="12" t="s">
        <v>467</v>
      </c>
      <c r="B84" s="61" t="s">
        <v>420</v>
      </c>
      <c r="C84" s="64" t="s">
        <v>421</v>
      </c>
      <c r="D84" s="63" t="s">
        <v>12</v>
      </c>
      <c r="E84" s="64" t="s">
        <v>13</v>
      </c>
      <c r="F84" s="63" t="s">
        <v>255</v>
      </c>
      <c r="G84" s="109" t="s">
        <v>230</v>
      </c>
      <c r="H84" s="63" t="s">
        <v>14</v>
      </c>
      <c r="I84" s="64" t="s">
        <v>708</v>
      </c>
      <c r="J84" s="63" t="s">
        <v>690</v>
      </c>
      <c r="K84" s="114" t="s">
        <v>247</v>
      </c>
      <c r="L84" s="111">
        <v>0</v>
      </c>
      <c r="M84" s="114" t="s">
        <v>232</v>
      </c>
      <c r="N84" s="111" t="s">
        <v>24</v>
      </c>
      <c r="O84" s="114" t="s">
        <v>13</v>
      </c>
    </row>
    <row r="85" spans="1:15" ht="15.75" thickBot="1">
      <c r="A85" s="12" t="s">
        <v>422</v>
      </c>
      <c r="B85" s="61" t="s">
        <v>423</v>
      </c>
      <c r="C85" s="64" t="s">
        <v>424</v>
      </c>
      <c r="D85" s="63" t="s">
        <v>12</v>
      </c>
      <c r="E85" s="64" t="s">
        <v>13</v>
      </c>
      <c r="F85" s="63" t="s">
        <v>255</v>
      </c>
      <c r="G85" s="109" t="s">
        <v>425</v>
      </c>
      <c r="H85" s="63" t="s">
        <v>14</v>
      </c>
      <c r="I85" s="64" t="s">
        <v>708</v>
      </c>
      <c r="J85" s="63"/>
      <c r="K85" s="114" t="s">
        <v>247</v>
      </c>
      <c r="L85" s="111">
        <v>650</v>
      </c>
      <c r="M85" s="114" t="s">
        <v>231</v>
      </c>
      <c r="N85" s="111" t="s">
        <v>24</v>
      </c>
      <c r="O85" s="114" t="s">
        <v>13</v>
      </c>
    </row>
    <row r="86" spans="1:15" ht="15.75" thickBot="1">
      <c r="A86" s="12" t="s">
        <v>426</v>
      </c>
      <c r="B86" s="61" t="s">
        <v>97</v>
      </c>
      <c r="C86" s="64" t="s">
        <v>427</v>
      </c>
      <c r="D86" s="63" t="s">
        <v>36</v>
      </c>
      <c r="E86" s="64" t="s">
        <v>37</v>
      </c>
      <c r="F86" s="63" t="s">
        <v>255</v>
      </c>
      <c r="G86" s="109" t="s">
        <v>428</v>
      </c>
      <c r="H86" s="63" t="s">
        <v>14</v>
      </c>
      <c r="I86" s="64" t="s">
        <v>429</v>
      </c>
      <c r="J86" s="63" t="s">
        <v>691</v>
      </c>
      <c r="K86" s="114" t="s">
        <v>247</v>
      </c>
      <c r="L86" s="111">
        <v>55</v>
      </c>
      <c r="M86" s="114" t="s">
        <v>231</v>
      </c>
      <c r="N86" s="111" t="s">
        <v>24</v>
      </c>
      <c r="O86" s="114" t="s">
        <v>37</v>
      </c>
    </row>
    <row r="87" spans="1:15" ht="15.75" thickBot="1">
      <c r="A87" s="12" t="s">
        <v>430</v>
      </c>
      <c r="B87" s="61" t="s">
        <v>431</v>
      </c>
      <c r="C87" s="64" t="s">
        <v>432</v>
      </c>
      <c r="D87" s="63" t="s">
        <v>38</v>
      </c>
      <c r="E87" s="64" t="s">
        <v>37</v>
      </c>
      <c r="F87" s="63" t="s">
        <v>255</v>
      </c>
      <c r="G87" s="109" t="s">
        <v>230</v>
      </c>
      <c r="H87" s="63" t="s">
        <v>14</v>
      </c>
      <c r="I87" s="64" t="s">
        <v>708</v>
      </c>
      <c r="J87" s="63" t="s">
        <v>692</v>
      </c>
      <c r="K87" s="114" t="s">
        <v>247</v>
      </c>
      <c r="L87" s="111">
        <v>0</v>
      </c>
      <c r="M87" s="114" t="s">
        <v>232</v>
      </c>
      <c r="N87" s="111" t="s">
        <v>24</v>
      </c>
      <c r="O87" s="114" t="s">
        <v>37</v>
      </c>
    </row>
    <row r="88" spans="1:15" ht="15.75" thickBot="1">
      <c r="A88" s="12" t="s">
        <v>657</v>
      </c>
      <c r="B88" s="61" t="s">
        <v>286</v>
      </c>
      <c r="C88" s="64" t="s">
        <v>644</v>
      </c>
      <c r="D88" s="63" t="s">
        <v>36</v>
      </c>
      <c r="E88" s="64" t="s">
        <v>37</v>
      </c>
      <c r="F88" s="63" t="s">
        <v>255</v>
      </c>
      <c r="G88" s="109" t="s">
        <v>230</v>
      </c>
      <c r="H88" s="63" t="s">
        <v>14</v>
      </c>
      <c r="I88" s="64" t="s">
        <v>708</v>
      </c>
      <c r="J88" s="63"/>
      <c r="K88" s="114" t="s">
        <v>247</v>
      </c>
      <c r="L88" s="111">
        <v>0</v>
      </c>
      <c r="M88" s="114" t="s">
        <v>232</v>
      </c>
      <c r="N88" s="111" t="s">
        <v>24</v>
      </c>
      <c r="O88" s="114" t="s">
        <v>37</v>
      </c>
    </row>
    <row r="89" spans="1:15" ht="15.75" thickBot="1">
      <c r="A89" s="12" t="s">
        <v>663</v>
      </c>
      <c r="B89" s="61" t="s">
        <v>230</v>
      </c>
      <c r="C89" s="64" t="s">
        <v>103</v>
      </c>
      <c r="D89" s="63" t="s">
        <v>36</v>
      </c>
      <c r="E89" s="64" t="s">
        <v>37</v>
      </c>
      <c r="F89" s="63" t="s">
        <v>255</v>
      </c>
      <c r="G89" s="109" t="s">
        <v>285</v>
      </c>
      <c r="H89" s="63" t="s">
        <v>14</v>
      </c>
      <c r="I89" s="64" t="s">
        <v>708</v>
      </c>
      <c r="J89" s="63"/>
      <c r="K89" s="114" t="s">
        <v>247</v>
      </c>
      <c r="L89" s="111">
        <v>29</v>
      </c>
      <c r="M89" s="114" t="s">
        <v>231</v>
      </c>
      <c r="N89" s="111" t="s">
        <v>24</v>
      </c>
      <c r="O89" s="114" t="s">
        <v>37</v>
      </c>
    </row>
    <row r="90" spans="1:15" ht="15.75" thickBot="1">
      <c r="A90" s="12" t="s">
        <v>433</v>
      </c>
      <c r="B90" s="61" t="s">
        <v>434</v>
      </c>
      <c r="C90" s="64" t="s">
        <v>428</v>
      </c>
      <c r="D90" s="63" t="s">
        <v>36</v>
      </c>
      <c r="E90" s="64" t="s">
        <v>37</v>
      </c>
      <c r="F90" s="63" t="s">
        <v>255</v>
      </c>
      <c r="G90" s="109" t="s">
        <v>428</v>
      </c>
      <c r="H90" s="63" t="s">
        <v>14</v>
      </c>
      <c r="I90" s="64" t="s">
        <v>708</v>
      </c>
      <c r="J90" s="63"/>
      <c r="K90" s="114" t="s">
        <v>247</v>
      </c>
      <c r="L90" s="111">
        <v>55</v>
      </c>
      <c r="M90" s="114" t="s">
        <v>231</v>
      </c>
      <c r="N90" s="111" t="s">
        <v>24</v>
      </c>
      <c r="O90" s="114" t="s">
        <v>37</v>
      </c>
    </row>
    <row r="91" spans="1:15" ht="15.75" thickBot="1">
      <c r="A91" s="12" t="s">
        <v>435</v>
      </c>
      <c r="B91" s="61" t="s">
        <v>20</v>
      </c>
      <c r="C91" s="64" t="s">
        <v>349</v>
      </c>
      <c r="D91" s="63" t="s">
        <v>36</v>
      </c>
      <c r="E91" s="64" t="s">
        <v>37</v>
      </c>
      <c r="F91" s="63" t="s">
        <v>255</v>
      </c>
      <c r="G91" s="109" t="s">
        <v>349</v>
      </c>
      <c r="H91" s="63" t="s">
        <v>14</v>
      </c>
      <c r="I91" s="64" t="s">
        <v>708</v>
      </c>
      <c r="J91" s="63"/>
      <c r="K91" s="114" t="s">
        <v>247</v>
      </c>
      <c r="L91" s="111">
        <v>300</v>
      </c>
      <c r="M91" s="114" t="s">
        <v>231</v>
      </c>
      <c r="N91" s="111" t="s">
        <v>24</v>
      </c>
      <c r="O91" s="114" t="s">
        <v>37</v>
      </c>
    </row>
    <row r="92" spans="1:15" ht="15.75" thickBot="1">
      <c r="A92" s="12" t="s">
        <v>436</v>
      </c>
      <c r="B92" s="61" t="s">
        <v>437</v>
      </c>
      <c r="C92" s="64" t="s">
        <v>438</v>
      </c>
      <c r="D92" s="63" t="s">
        <v>38</v>
      </c>
      <c r="E92" s="64" t="s">
        <v>37</v>
      </c>
      <c r="F92" s="63" t="s">
        <v>255</v>
      </c>
      <c r="G92" s="109" t="s">
        <v>439</v>
      </c>
      <c r="H92" s="63" t="s">
        <v>14</v>
      </c>
      <c r="I92" s="64" t="s">
        <v>708</v>
      </c>
      <c r="J92" s="63"/>
      <c r="K92" s="114" t="s">
        <v>247</v>
      </c>
      <c r="L92" s="111">
        <v>216</v>
      </c>
      <c r="M92" s="114" t="s">
        <v>231</v>
      </c>
      <c r="N92" s="111" t="s">
        <v>24</v>
      </c>
      <c r="O92" s="114" t="s">
        <v>37</v>
      </c>
    </row>
    <row r="93" spans="1:15" ht="15.75" thickBot="1">
      <c r="A93" s="12" t="s">
        <v>440</v>
      </c>
      <c r="B93" s="61" t="s">
        <v>441</v>
      </c>
      <c r="C93" s="64" t="s">
        <v>103</v>
      </c>
      <c r="D93" s="63" t="s">
        <v>230</v>
      </c>
      <c r="E93" s="64" t="s">
        <v>419</v>
      </c>
      <c r="F93" s="63" t="s">
        <v>255</v>
      </c>
      <c r="G93" s="109" t="s">
        <v>428</v>
      </c>
      <c r="H93" s="63" t="s">
        <v>10</v>
      </c>
      <c r="I93" s="64" t="s">
        <v>708</v>
      </c>
      <c r="J93" s="63"/>
      <c r="K93" s="112" t="s">
        <v>247</v>
      </c>
      <c r="L93" s="111">
        <v>55</v>
      </c>
      <c r="M93" s="112" t="s">
        <v>231</v>
      </c>
      <c r="N93" s="111" t="s">
        <v>24</v>
      </c>
      <c r="O93" s="112" t="s">
        <v>242</v>
      </c>
    </row>
    <row r="94" spans="1:15" ht="15.75" thickBot="1">
      <c r="A94" s="12" t="s">
        <v>672</v>
      </c>
      <c r="B94" s="61" t="s">
        <v>98</v>
      </c>
      <c r="C94" s="64" t="s">
        <v>673</v>
      </c>
      <c r="D94" s="63" t="s">
        <v>12</v>
      </c>
      <c r="E94" s="64" t="s">
        <v>13</v>
      </c>
      <c r="F94" s="63" t="s">
        <v>255</v>
      </c>
      <c r="G94" s="109" t="s">
        <v>674</v>
      </c>
      <c r="H94" s="63" t="s">
        <v>14</v>
      </c>
      <c r="I94" s="64" t="s">
        <v>708</v>
      </c>
      <c r="J94" s="63"/>
      <c r="K94" s="112" t="s">
        <v>247</v>
      </c>
      <c r="L94" s="111">
        <v>174.93</v>
      </c>
      <c r="M94" s="112" t="s">
        <v>231</v>
      </c>
      <c r="N94" s="111" t="s">
        <v>24</v>
      </c>
      <c r="O94" s="112" t="s">
        <v>13</v>
      </c>
    </row>
    <row r="95" spans="1:15" ht="15.75" thickBot="1">
      <c r="A95" s="12" t="s">
        <v>722</v>
      </c>
      <c r="B95" s="61" t="s">
        <v>723</v>
      </c>
      <c r="C95" s="64" t="s">
        <v>230</v>
      </c>
      <c r="D95" s="63" t="s">
        <v>36</v>
      </c>
      <c r="E95" s="64" t="s">
        <v>37</v>
      </c>
      <c r="F95" s="63" t="s">
        <v>255</v>
      </c>
      <c r="G95" s="109" t="s">
        <v>712</v>
      </c>
      <c r="H95" s="63" t="s">
        <v>14</v>
      </c>
      <c r="I95" s="64" t="s">
        <v>708</v>
      </c>
      <c r="J95" s="63" t="s">
        <v>724</v>
      </c>
      <c r="K95" s="112" t="s">
        <v>247</v>
      </c>
      <c r="L95" s="111">
        <v>400</v>
      </c>
      <c r="M95" s="112" t="s">
        <v>231</v>
      </c>
      <c r="N95" s="111" t="s">
        <v>24</v>
      </c>
      <c r="O95" s="112" t="s">
        <v>37</v>
      </c>
    </row>
    <row r="96" spans="1:15" ht="15.75" thickBot="1">
      <c r="A96" s="12" t="s">
        <v>442</v>
      </c>
      <c r="B96" s="61" t="s">
        <v>443</v>
      </c>
      <c r="C96" s="64" t="s">
        <v>278</v>
      </c>
      <c r="D96" s="63" t="s">
        <v>12</v>
      </c>
      <c r="E96" s="64" t="s">
        <v>13</v>
      </c>
      <c r="F96" s="63" t="s">
        <v>255</v>
      </c>
      <c r="G96" s="109" t="s">
        <v>278</v>
      </c>
      <c r="H96" s="63" t="s">
        <v>14</v>
      </c>
      <c r="I96" s="64" t="s">
        <v>708</v>
      </c>
      <c r="J96" s="63"/>
      <c r="K96" s="112" t="s">
        <v>247</v>
      </c>
      <c r="L96" s="111">
        <v>120</v>
      </c>
      <c r="M96" s="112" t="s">
        <v>231</v>
      </c>
      <c r="N96" s="111" t="s">
        <v>24</v>
      </c>
      <c r="O96" s="112" t="s">
        <v>13</v>
      </c>
    </row>
    <row r="97" spans="1:15" ht="15.75" thickBot="1">
      <c r="A97" s="12" t="s">
        <v>444</v>
      </c>
      <c r="B97" s="61" t="s">
        <v>445</v>
      </c>
      <c r="C97" s="64" t="s">
        <v>446</v>
      </c>
      <c r="D97" s="63" t="s">
        <v>38</v>
      </c>
      <c r="E97" s="64" t="s">
        <v>37</v>
      </c>
      <c r="F97" s="63" t="s">
        <v>255</v>
      </c>
      <c r="G97" s="109" t="s">
        <v>349</v>
      </c>
      <c r="H97" s="63" t="s">
        <v>14</v>
      </c>
      <c r="I97" s="64" t="s">
        <v>447</v>
      </c>
      <c r="J97" s="63" t="s">
        <v>693</v>
      </c>
      <c r="K97" s="112" t="s">
        <v>247</v>
      </c>
      <c r="L97" s="111">
        <v>300</v>
      </c>
      <c r="M97" s="112" t="s">
        <v>231</v>
      </c>
      <c r="N97" s="111" t="s">
        <v>24</v>
      </c>
      <c r="O97" s="112" t="s">
        <v>37</v>
      </c>
    </row>
    <row r="98" spans="1:15">
      <c r="A98" s="14" t="s">
        <v>448</v>
      </c>
      <c r="B98" s="65" t="s">
        <v>449</v>
      </c>
      <c r="C98" s="66" t="s">
        <v>450</v>
      </c>
      <c r="D98" s="67" t="s">
        <v>12</v>
      </c>
      <c r="E98" s="66" t="s">
        <v>13</v>
      </c>
      <c r="F98" s="67" t="s">
        <v>255</v>
      </c>
      <c r="G98" s="110" t="s">
        <v>261</v>
      </c>
      <c r="H98" s="67" t="s">
        <v>14</v>
      </c>
      <c r="I98" s="66" t="s">
        <v>708</v>
      </c>
      <c r="J98" s="67"/>
      <c r="K98" s="112" t="s">
        <v>247</v>
      </c>
      <c r="L98" s="111">
        <v>280</v>
      </c>
      <c r="M98" s="112" t="s">
        <v>231</v>
      </c>
      <c r="N98" s="111" t="s">
        <v>24</v>
      </c>
      <c r="O98" s="112" t="s">
        <v>13</v>
      </c>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4FD2-ABA6-4634-90E6-66FD9728B1AD}">
  <dimension ref="B1:M47"/>
  <sheetViews>
    <sheetView workbookViewId="0"/>
  </sheetViews>
  <sheetFormatPr defaultColWidth="9.140625" defaultRowHeight="15"/>
  <cols>
    <col min="1" max="1" width="2.140625" style="121" customWidth="1"/>
    <col min="2" max="2" width="23.140625" style="121" customWidth="1"/>
    <col min="3" max="3" width="11.140625" style="121" bestFit="1" customWidth="1"/>
    <col min="4" max="11" width="10.140625" style="121" customWidth="1"/>
    <col min="12" max="12" width="9.140625" style="121"/>
    <col min="13" max="13" width="11.42578125" style="121" customWidth="1"/>
    <col min="14" max="16384" width="9.140625" style="121"/>
  </cols>
  <sheetData>
    <row r="1" spans="2:11" ht="19.5">
      <c r="B1" s="120" t="s">
        <v>236</v>
      </c>
    </row>
    <row r="2" spans="2:11" ht="36.75" customHeight="1">
      <c r="B2" s="158" t="s">
        <v>732</v>
      </c>
      <c r="C2" s="158"/>
      <c r="D2" s="158"/>
      <c r="E2" s="158"/>
      <c r="F2" s="158"/>
      <c r="G2" s="158"/>
      <c r="H2" s="158"/>
      <c r="I2" s="158"/>
      <c r="J2" s="158"/>
      <c r="K2" s="158"/>
    </row>
    <row r="3" spans="2:11" ht="35.25" customHeight="1">
      <c r="B3" s="158" t="s">
        <v>733</v>
      </c>
      <c r="C3" s="158"/>
      <c r="D3" s="158"/>
      <c r="E3" s="158"/>
      <c r="F3" s="158"/>
      <c r="G3" s="158"/>
      <c r="H3" s="158"/>
      <c r="I3" s="158"/>
      <c r="J3" s="158"/>
      <c r="K3" s="158"/>
    </row>
    <row r="4" spans="2:11" ht="14.25" customHeight="1">
      <c r="B4" s="162" t="s">
        <v>734</v>
      </c>
      <c r="C4" s="162"/>
      <c r="D4" s="162"/>
      <c r="E4" s="162"/>
      <c r="F4" s="162"/>
      <c r="G4" s="162"/>
      <c r="H4" s="162"/>
      <c r="I4" s="162"/>
      <c r="J4" s="162"/>
      <c r="K4" s="162"/>
    </row>
    <row r="5" spans="2:11" ht="39" customHeight="1">
      <c r="B5" s="163" t="s">
        <v>735</v>
      </c>
      <c r="C5" s="163"/>
      <c r="D5" s="163"/>
      <c r="E5" s="163"/>
      <c r="F5" s="163"/>
      <c r="G5" s="163"/>
      <c r="H5" s="163"/>
      <c r="I5" s="163"/>
      <c r="J5" s="163"/>
      <c r="K5" s="163"/>
    </row>
    <row r="6" spans="2:11" ht="13.5" customHeight="1">
      <c r="B6" s="122"/>
      <c r="C6" s="122"/>
      <c r="D6" s="122"/>
      <c r="E6" s="122"/>
      <c r="F6" s="122"/>
      <c r="G6" s="122"/>
      <c r="H6" s="122"/>
      <c r="I6" s="122"/>
      <c r="J6" s="122"/>
      <c r="K6" s="122"/>
    </row>
    <row r="7" spans="2:11" ht="49.5" customHeight="1">
      <c r="B7" s="162" t="s">
        <v>744</v>
      </c>
      <c r="C7" s="162"/>
      <c r="D7" s="162"/>
      <c r="E7" s="162"/>
      <c r="F7" s="162"/>
      <c r="G7" s="162"/>
      <c r="H7" s="162"/>
      <c r="I7" s="162"/>
      <c r="J7" s="162"/>
      <c r="K7" s="162"/>
    </row>
    <row r="8" spans="2:11" ht="13.5" customHeight="1">
      <c r="B8" s="122"/>
      <c r="C8" s="122"/>
      <c r="D8" s="122"/>
      <c r="E8" s="122"/>
      <c r="F8" s="122"/>
      <c r="G8" s="122"/>
      <c r="H8" s="122"/>
      <c r="I8" s="122"/>
      <c r="J8" s="122"/>
      <c r="K8" s="122"/>
    </row>
    <row r="9" spans="2:11">
      <c r="B9" s="124" t="s">
        <v>550</v>
      </c>
    </row>
    <row r="10" spans="2:11" ht="28.5" customHeight="1">
      <c r="B10" s="158" t="s">
        <v>551</v>
      </c>
      <c r="C10" s="158"/>
      <c r="D10" s="158"/>
      <c r="E10" s="158"/>
      <c r="F10" s="158"/>
      <c r="G10" s="158"/>
      <c r="H10" s="158"/>
      <c r="I10" s="158"/>
      <c r="J10" s="158"/>
      <c r="K10" s="158"/>
    </row>
    <row r="11" spans="2:11" ht="39" customHeight="1">
      <c r="B11" s="158" t="s">
        <v>552</v>
      </c>
      <c r="C11" s="158"/>
      <c r="D11" s="158"/>
      <c r="E11" s="158"/>
      <c r="F11" s="158"/>
      <c r="G11" s="158"/>
      <c r="H11" s="158"/>
      <c r="I11" s="158"/>
      <c r="J11" s="158"/>
      <c r="K11" s="158"/>
    </row>
    <row r="12" spans="2:11" ht="15.75" customHeight="1">
      <c r="B12" s="123" t="s">
        <v>553</v>
      </c>
    </row>
    <row r="13" spans="2:11" ht="27" customHeight="1">
      <c r="B13" s="159" t="s">
        <v>554</v>
      </c>
      <c r="C13" s="160"/>
      <c r="D13" s="160"/>
      <c r="E13" s="160"/>
      <c r="F13" s="160"/>
      <c r="G13" s="160"/>
      <c r="H13" s="160"/>
      <c r="I13" s="160"/>
      <c r="J13" s="160"/>
      <c r="K13" s="160"/>
    </row>
    <row r="14" spans="2:11" ht="49.5" customHeight="1">
      <c r="B14" s="160" t="s">
        <v>555</v>
      </c>
      <c r="C14" s="160"/>
      <c r="D14" s="160"/>
      <c r="E14" s="160"/>
      <c r="F14" s="160"/>
      <c r="G14" s="160"/>
      <c r="H14" s="160"/>
      <c r="I14" s="160"/>
      <c r="J14" s="160"/>
      <c r="K14" s="160"/>
    </row>
    <row r="15" spans="2:11">
      <c r="B15" s="125"/>
    </row>
    <row r="16" spans="2:11">
      <c r="B16" s="126" t="s">
        <v>556</v>
      </c>
    </row>
    <row r="17" spans="2:12" ht="15.75" thickBot="1">
      <c r="B17" s="127" t="s">
        <v>557</v>
      </c>
      <c r="C17" s="135" t="s">
        <v>558</v>
      </c>
      <c r="D17" s="135" t="s">
        <v>559</v>
      </c>
    </row>
    <row r="18" spans="2:12" ht="16.5" thickTop="1" thickBot="1">
      <c r="B18" s="128" t="s">
        <v>560</v>
      </c>
      <c r="C18" s="129">
        <v>37</v>
      </c>
      <c r="D18" s="129">
        <v>15</v>
      </c>
    </row>
    <row r="19" spans="2:12" ht="15.75" thickBot="1">
      <c r="B19" s="128" t="s">
        <v>547</v>
      </c>
      <c r="C19" s="129">
        <v>42</v>
      </c>
      <c r="D19" s="129">
        <v>9</v>
      </c>
    </row>
    <row r="20" spans="2:12" ht="15.75" thickBot="1">
      <c r="B20" s="128" t="s">
        <v>561</v>
      </c>
      <c r="C20" s="129">
        <v>41</v>
      </c>
      <c r="D20" s="129">
        <v>8</v>
      </c>
    </row>
    <row r="21" spans="2:12" ht="15.75" thickBot="1">
      <c r="B21" s="128" t="s">
        <v>562</v>
      </c>
      <c r="C21" s="129">
        <v>43</v>
      </c>
      <c r="D21" s="129">
        <v>11</v>
      </c>
    </row>
    <row r="22" spans="2:12" ht="15.75" thickBot="1">
      <c r="B22" s="128" t="s">
        <v>563</v>
      </c>
      <c r="C22" s="129">
        <v>7.7</v>
      </c>
      <c r="D22" s="129">
        <v>1.2</v>
      </c>
    </row>
    <row r="23" spans="2:12">
      <c r="B23" s="130"/>
    </row>
    <row r="24" spans="2:12">
      <c r="B24" s="124" t="s">
        <v>564</v>
      </c>
    </row>
    <row r="25" spans="2:12" ht="25.5" customHeight="1">
      <c r="B25" s="158" t="s">
        <v>565</v>
      </c>
      <c r="C25" s="158"/>
      <c r="D25" s="158"/>
      <c r="E25" s="158"/>
      <c r="F25" s="158"/>
      <c r="G25" s="158"/>
      <c r="H25" s="158"/>
      <c r="I25" s="158"/>
      <c r="J25" s="158"/>
      <c r="K25" s="158"/>
    </row>
    <row r="26" spans="2:12">
      <c r="B26" s="123"/>
    </row>
    <row r="27" spans="2:12" ht="19.5">
      <c r="B27" s="131" t="s">
        <v>566</v>
      </c>
    </row>
    <row r="28" spans="2:12">
      <c r="B28" s="123" t="s">
        <v>567</v>
      </c>
    </row>
    <row r="29" spans="2:12" s="132" customFormat="1" ht="27.75" customHeight="1">
      <c r="B29" s="158" t="s">
        <v>745</v>
      </c>
      <c r="C29" s="158"/>
      <c r="D29" s="158"/>
      <c r="E29" s="158"/>
      <c r="F29" s="158"/>
      <c r="G29" s="158"/>
      <c r="H29" s="158"/>
      <c r="I29" s="158"/>
      <c r="J29" s="158"/>
      <c r="K29" s="158"/>
    </row>
    <row r="30" spans="2:12">
      <c r="B30" s="123" t="s">
        <v>736</v>
      </c>
    </row>
    <row r="31" spans="2:12">
      <c r="B31" s="125" t="s">
        <v>737</v>
      </c>
    </row>
    <row r="32" spans="2:12" ht="17.25" customHeight="1">
      <c r="B32" s="133"/>
      <c r="C32" s="161" t="s">
        <v>725</v>
      </c>
      <c r="D32" s="161"/>
      <c r="E32" s="161"/>
      <c r="F32" s="161"/>
      <c r="G32" s="161"/>
      <c r="H32" s="161"/>
      <c r="I32" s="161"/>
      <c r="J32" s="161"/>
      <c r="K32" s="161"/>
      <c r="L32" s="161"/>
    </row>
    <row r="33" spans="2:13" ht="30" customHeight="1">
      <c r="B33" s="125"/>
      <c r="C33" s="161" t="s">
        <v>738</v>
      </c>
      <c r="D33" s="161"/>
      <c r="E33" s="161"/>
      <c r="F33" s="161"/>
      <c r="G33" s="161"/>
      <c r="H33" s="161"/>
      <c r="I33" s="161"/>
      <c r="J33" s="161"/>
      <c r="K33" s="161"/>
      <c r="L33" s="161"/>
    </row>
    <row r="34" spans="2:13">
      <c r="B34" s="125" t="s">
        <v>705</v>
      </c>
    </row>
    <row r="35" spans="2:13" s="125" customFormat="1" ht="39.75" customHeight="1">
      <c r="C35" s="161" t="s">
        <v>746</v>
      </c>
      <c r="D35" s="161"/>
      <c r="E35" s="161"/>
      <c r="F35" s="161"/>
      <c r="G35" s="161"/>
      <c r="H35" s="161"/>
      <c r="I35" s="161"/>
      <c r="J35" s="161"/>
      <c r="K35" s="161"/>
      <c r="L35" s="161"/>
      <c r="M35" s="121"/>
    </row>
    <row r="36" spans="2:13" s="125" customFormat="1" ht="41.25" customHeight="1">
      <c r="C36" s="161" t="s">
        <v>706</v>
      </c>
      <c r="D36" s="161"/>
      <c r="E36" s="161"/>
      <c r="F36" s="161"/>
      <c r="G36" s="161"/>
      <c r="H36" s="161"/>
      <c r="I36" s="161"/>
      <c r="J36" s="161"/>
      <c r="K36" s="161"/>
      <c r="L36" s="161"/>
      <c r="M36" s="121"/>
    </row>
    <row r="37" spans="2:13" s="125" customFormat="1" ht="74.25" customHeight="1">
      <c r="C37" s="161" t="s">
        <v>739</v>
      </c>
      <c r="D37" s="161"/>
      <c r="E37" s="161"/>
      <c r="F37" s="161"/>
      <c r="G37" s="161"/>
      <c r="H37" s="161"/>
      <c r="I37" s="161"/>
      <c r="J37" s="161"/>
      <c r="K37" s="161"/>
      <c r="L37" s="161"/>
      <c r="M37" s="121"/>
    </row>
    <row r="38" spans="2:13" s="125" customFormat="1" ht="39" customHeight="1">
      <c r="C38" s="161" t="s">
        <v>740</v>
      </c>
      <c r="D38" s="161"/>
      <c r="E38" s="161"/>
      <c r="F38" s="161"/>
      <c r="G38" s="161"/>
      <c r="H38" s="161"/>
      <c r="I38" s="161"/>
      <c r="J38" s="161"/>
      <c r="K38" s="161"/>
      <c r="L38" s="161"/>
      <c r="M38" s="121"/>
    </row>
    <row r="39" spans="2:13" s="132" customFormat="1">
      <c r="B39" s="123"/>
    </row>
    <row r="40" spans="2:13" s="132" customFormat="1">
      <c r="B40" s="134" t="s">
        <v>568</v>
      </c>
    </row>
    <row r="41" spans="2:13" s="132" customFormat="1" ht="15.75" thickBot="1">
      <c r="B41" s="127" t="s">
        <v>569</v>
      </c>
      <c r="C41" s="156" t="s">
        <v>570</v>
      </c>
      <c r="D41" s="157"/>
      <c r="E41" s="157"/>
      <c r="F41" s="157"/>
      <c r="G41" s="157"/>
      <c r="H41" s="157"/>
      <c r="I41" s="157"/>
      <c r="J41" s="157"/>
    </row>
    <row r="42" spans="2:13" s="132" customFormat="1" ht="27.75" customHeight="1" thickTop="1" thickBot="1">
      <c r="B42" s="128" t="s">
        <v>571</v>
      </c>
      <c r="C42" s="153" t="s">
        <v>572</v>
      </c>
      <c r="D42" s="154"/>
      <c r="E42" s="154"/>
      <c r="F42" s="154"/>
      <c r="G42" s="154"/>
      <c r="H42" s="154"/>
      <c r="I42" s="154"/>
      <c r="J42" s="154"/>
    </row>
    <row r="43" spans="2:13" s="132" customFormat="1" ht="42.75" customHeight="1" thickBot="1">
      <c r="B43" s="128" t="s">
        <v>573</v>
      </c>
      <c r="C43" s="153" t="s">
        <v>574</v>
      </c>
      <c r="D43" s="154"/>
      <c r="E43" s="154"/>
      <c r="F43" s="154"/>
      <c r="G43" s="154"/>
      <c r="H43" s="154"/>
      <c r="I43" s="154"/>
      <c r="J43" s="154"/>
    </row>
    <row r="44" spans="2:13" s="132" customFormat="1" ht="46.5" customHeight="1" thickBot="1">
      <c r="B44" s="128" t="s">
        <v>747</v>
      </c>
      <c r="C44" s="153" t="s">
        <v>741</v>
      </c>
      <c r="D44" s="154"/>
      <c r="E44" s="154"/>
      <c r="F44" s="154"/>
      <c r="G44" s="154"/>
      <c r="H44" s="154"/>
      <c r="I44" s="154"/>
      <c r="J44" s="154"/>
    </row>
    <row r="45" spans="2:13" s="132" customFormat="1" ht="25.5" customHeight="1" thickBot="1">
      <c r="B45" s="128" t="s">
        <v>575</v>
      </c>
      <c r="C45" s="153" t="s">
        <v>576</v>
      </c>
      <c r="D45" s="154"/>
      <c r="E45" s="154"/>
      <c r="F45" s="154"/>
      <c r="G45" s="154"/>
      <c r="H45" s="154"/>
      <c r="I45" s="154"/>
      <c r="J45" s="154"/>
    </row>
    <row r="46" spans="2:13" s="132" customFormat="1" ht="23.25" customHeight="1" thickBot="1">
      <c r="B46" s="128" t="s">
        <v>742</v>
      </c>
      <c r="C46" s="153" t="s">
        <v>743</v>
      </c>
      <c r="D46" s="155"/>
      <c r="E46" s="155"/>
      <c r="F46" s="155"/>
      <c r="G46" s="155"/>
      <c r="H46" s="155"/>
      <c r="I46" s="155"/>
      <c r="J46" s="155"/>
    </row>
    <row r="47" spans="2:13" s="132" customFormat="1" ht="15.75" thickBot="1">
      <c r="B47" s="136"/>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NETWORKDEV-2134468847-13541</_dlc_DocId>
    <_dlc_DocIdUrl xmlns="a14523ce-dede-483e-883a-2d83261080bd">
      <Url>http://sharedocs/sites/nd/BusinessAsUsual/_layouts/15/DocIdRedir.aspx?ID=NETWORKDEV-2134468847-13541</Url>
      <Description>NETWORKDEV-2134468847-13541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s q m i d = " c d 5 1 e 4 2 6 - 4 e 3 1 - 4 1 1 d - b c 8 0 - 9 d a d 8 4 d 2 a 4 6 b "   x m l n s = " h t t p : / / s c h e m a s . m i c r o s o f t . c o m / D a t a M a s h u p " > A A A A A B c D A A B Q S w M E F A A C A A g A k W P / T J 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k W P / 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F j / 0 w o i k e 4 D g A A A B E A A A A T A B w A R m 9 y b X V s Y X M v U 2 V j d G l v b j E u b S C i G A A o o B Q A A A A A A A A A A A A A A A A A A A A A A A A A A A A r T k 0 u y c z P U w i G 0 I b W A F B L A Q I t A B Q A A g A I A J F j / 0 y d S Y d a p w A A A P k A A A A S A A A A A A A A A A A A A A A A A A A A A A B D b 2 5 m a W c v U G F j a 2 F n Z S 5 4 b W x Q S w E C L Q A U A A I A C A C R Y / 9 M D 8 r p q 6 Q A A A D p A A A A E w A A A A A A A A A A A A A A A A D z A A A A W 0 N v b n R l b n R f V H l w Z X N d L n h t b F B L A Q I t A B Q A A g A I A J F j / 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e F 4 b t R j W R L U N x W c h p t r 8 A A A A A A I A A A A A A A N m A A D A A A A A E A A A A G l D L S Q Y c H P o c P q L 1 t Q c V 2 o A A A A A B I A A A K A A A A A Q A A A A + P V i p Z J B H 8 n r Z F W N g B c 7 x 1 A A A A A B G z X 2 4 R Q F S q A 3 U + X 0 f c P t u L F S X H E / o I q B I o J f m 2 g t 7 L Z F e L 8 G f 9 4 C s E O 3 O F H k f i 5 Y e n u 6 u R O 5 W I a K X Q r 8 j p K C U o z c q m e 8 0 i 8 V p 1 S 4 H j w 3 e B Q A A A A Y b C x D j D Q g Q E i X 5 D B Y x v / 7 Z y / o p A = = < / D a t a M a s h u p > 
</file>

<file path=customXml/itemProps1.xml><?xml version="1.0" encoding="utf-8"?>
<ds:datastoreItem xmlns:ds="http://schemas.openxmlformats.org/officeDocument/2006/customXml" ds:itemID="{9377A1AA-8EAD-4B34-8081-66C741F499E3}">
  <ds:schemaRefs>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purl.org/dc/dcmitype/"/>
    <ds:schemaRef ds:uri="a14523ce-dede-483e-883a-2d83261080bd"/>
    <ds:schemaRef ds:uri="http://schemas.microsoft.com/office/2006/metadata/properties"/>
  </ds:schemaRefs>
</ds:datastoreItem>
</file>

<file path=customXml/itemProps2.xml><?xml version="1.0" encoding="utf-8"?>
<ds:datastoreItem xmlns:ds="http://schemas.openxmlformats.org/officeDocument/2006/customXml" ds:itemID="{F7DAF047-B6A9-4177-A4EC-6E99B8B0B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4A312B-B67F-463B-A32C-34BEAD0295F9}">
  <ds:schemaRefs>
    <ds:schemaRef ds:uri="http://schemas.microsoft.com/sharepoint/events"/>
  </ds:schemaRefs>
</ds:datastoreItem>
</file>

<file path=customXml/itemProps4.xml><?xml version="1.0" encoding="utf-8"?>
<ds:datastoreItem xmlns:ds="http://schemas.openxmlformats.org/officeDocument/2006/customXml" ds:itemID="{66DD0E50-4697-4935-AC05-3A47A89EDBD6}">
  <ds:schemaRefs>
    <ds:schemaRef ds:uri="http://schemas.microsoft.com/sharepoint/v3/contenttype/forms"/>
  </ds:schemaRefs>
</ds:datastoreItem>
</file>

<file path=customXml/itemProps5.xml><?xml version="1.0" encoding="utf-8"?>
<ds:datastoreItem xmlns:ds="http://schemas.openxmlformats.org/officeDocument/2006/customXml" ds:itemID="{9A78F39E-64F9-4366-94A9-F5BC7E92B5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Generation_Information_TAS_autogen_CONFIDENTIAL.xlsx</dc:creator>
  <cp:lastModifiedBy>Oscar Veloz</cp:lastModifiedBy>
  <dcterms:created xsi:type="dcterms:W3CDTF">2014-03-07T16:08:25Z</dcterms:created>
  <dcterms:modified xsi:type="dcterms:W3CDTF">2018-08-09T04:26:46Z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016a0a13-bacf-47f2-8736-3ebd1b382fcd</vt:lpwstr>
  </property>
  <property fmtid="{D5CDD505-2E9C-101B-9397-08002B2CF9AE}" pid="6" name="AEMODocumentType">
    <vt:lpwstr>3;#Operational Record|859762f2-4462-42eb-9744-c955c7e2c540</vt:lpwstr>
  </property>
</Properties>
</file>