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9\2019_January_minor_update\11_report_draft\"/>
    </mc:Choice>
  </mc:AlternateContent>
  <xr:revisionPtr revIDLastSave="0" documentId="10_ncr:100000_{F1C927A3-6CB2-4ACA-ACF6-B50182008F34}" xr6:coauthVersionLast="31" xr6:coauthVersionMax="31" xr10:uidLastSave="{00000000-0000-0000-0000-000000000000}"/>
  <bookViews>
    <workbookView xWindow="0" yWindow="0" windowWidth="13130" windowHeight="6110" tabRatio="803" xr2:uid="{00000000-000D-0000-FFFF-FFFF00000000}"/>
  </bookViews>
  <sheets>
    <sheet name="Tasmania Summary" sheetId="1" r:id="rId1"/>
    <sheet name="Change Log" sheetId="13" r:id="rId2"/>
    <sheet name="Existing S &amp; SS Generation" sheetId="11" r:id="rId3"/>
    <sheet name="Summer Scheduled Capacities" sheetId="15" r:id="rId4"/>
    <sheet name="Winter Scheduled Capacities" sheetId="16" r:id="rId5"/>
    <sheet name="Existing NS Generation" sheetId="12" r:id="rId6"/>
    <sheet name="New Developments" sheetId="10" r:id="rId7"/>
    <sheet name="Background Information" sheetId="19" r:id="rId8"/>
  </sheets>
  <definedNames>
    <definedName name="ExternalData_1" localSheetId="5" hidden="1">'Existing NS Generation'!$A$2:$I$16</definedName>
    <definedName name="ExternalData_1" localSheetId="2">'Existing S &amp; SS Generation'!#REF!</definedName>
    <definedName name="ExternalData_1" localSheetId="6" hidden="1">'New Developments'!$A$2:$O$15</definedName>
    <definedName name="ExternalData_1" localSheetId="3" hidden="1">'Summer Scheduled Capacities'!$A$2:$O$25</definedName>
    <definedName name="ExternalData_1" localSheetId="4" hidden="1">'Winter Scheduled Capacities'!$A$2:$O$25</definedName>
    <definedName name="ExternalData_2" localSheetId="2" hidden="1">'Existing S &amp; SS Generation'!$A$2:$L$23</definedName>
    <definedName name="ExternalData_2" localSheetId="3" hidden="1">'Summer Scheduled Capacities'!$A$34:$O$54</definedName>
    <definedName name="ExternalData_2" localSheetId="4" hidden="1">'Winter Scheduled Capacities'!$A$34:$O$54</definedName>
    <definedName name="ExternalData_3" localSheetId="3" hidden="1">'Summer Scheduled Capacities'!$A$60:$O$63</definedName>
    <definedName name="ExternalData_3" localSheetId="4" hidden="1">'Winter Scheduled Capacities'!$A$60:$O$63</definedName>
  </definedNames>
  <calcPr calcId="179017"/>
</workbook>
</file>

<file path=xl/calcChain.xml><?xml version="1.0" encoding="utf-8"?>
<calcChain xmlns="http://schemas.openxmlformats.org/spreadsheetml/2006/main">
  <c r="L89" i="1" l="1"/>
  <c r="K89" i="1"/>
  <c r="J89" i="1"/>
  <c r="I89" i="1"/>
  <c r="H89" i="1"/>
  <c r="G89" i="1"/>
  <c r="F89" i="1"/>
  <c r="E89" i="1"/>
  <c r="D89" i="1"/>
  <c r="L86" i="1"/>
  <c r="K86" i="1"/>
  <c r="J86" i="1"/>
  <c r="I86" i="1"/>
  <c r="H86" i="1"/>
  <c r="G86" i="1"/>
  <c r="F86" i="1"/>
  <c r="E86" i="1"/>
  <c r="D86" i="1"/>
  <c r="L85" i="1"/>
  <c r="K85" i="1"/>
  <c r="J85" i="1"/>
  <c r="I85" i="1"/>
  <c r="H85" i="1"/>
  <c r="G85" i="1"/>
  <c r="F85" i="1"/>
  <c r="E85" i="1"/>
  <c r="D85" i="1"/>
  <c r="C85" i="1"/>
  <c r="C86" i="1"/>
  <c r="C89" i="1"/>
  <c r="D25" i="11"/>
  <c r="C18" i="12" l="1"/>
  <c r="C27" i="16" l="1"/>
  <c r="D27" i="16"/>
  <c r="E27" i="16"/>
  <c r="F27" i="16"/>
  <c r="G27" i="16"/>
  <c r="H27" i="16"/>
  <c r="I27" i="16"/>
  <c r="J27" i="16"/>
  <c r="K27" i="16"/>
  <c r="B27" i="16"/>
  <c r="C56" i="16"/>
  <c r="C57" i="16" s="1"/>
  <c r="D56" i="16"/>
  <c r="D57" i="16" s="1"/>
  <c r="E56" i="16"/>
  <c r="E57" i="16" s="1"/>
  <c r="F56" i="16"/>
  <c r="F57" i="16" s="1"/>
  <c r="G56" i="16"/>
  <c r="G57" i="16" s="1"/>
  <c r="H56" i="16"/>
  <c r="H57" i="16" s="1"/>
  <c r="I56" i="16"/>
  <c r="I57" i="16" s="1"/>
  <c r="J56" i="16"/>
  <c r="J57" i="16" s="1"/>
  <c r="K56" i="16"/>
  <c r="K57" i="16" s="1"/>
  <c r="B56" i="16"/>
  <c r="B57" i="16" s="1"/>
  <c r="C65" i="16"/>
  <c r="D65" i="16"/>
  <c r="E65" i="16"/>
  <c r="F65" i="16"/>
  <c r="G65" i="16"/>
  <c r="H65" i="16"/>
  <c r="I65" i="16"/>
  <c r="J65" i="16"/>
  <c r="K65" i="16"/>
  <c r="B65" i="16"/>
  <c r="C56" i="15" l="1"/>
  <c r="C57" i="15" s="1"/>
  <c r="D56" i="15"/>
  <c r="D57" i="15" s="1"/>
  <c r="E56" i="15"/>
  <c r="E57" i="15" s="1"/>
  <c r="F56" i="15"/>
  <c r="F57" i="15" s="1"/>
  <c r="G56" i="15"/>
  <c r="G57" i="15" s="1"/>
  <c r="H56" i="15"/>
  <c r="H57" i="15" s="1"/>
  <c r="I56" i="15"/>
  <c r="I57" i="15" s="1"/>
  <c r="J56" i="15"/>
  <c r="J57" i="15" s="1"/>
  <c r="K56" i="15"/>
  <c r="K57" i="15" s="1"/>
  <c r="B56" i="15"/>
  <c r="B57" i="15" s="1"/>
  <c r="C65" i="15"/>
  <c r="D65" i="15"/>
  <c r="E65" i="15"/>
  <c r="F65" i="15"/>
  <c r="G65" i="15"/>
  <c r="H65" i="15"/>
  <c r="I65" i="15"/>
  <c r="J65" i="15"/>
  <c r="K65" i="15"/>
  <c r="B65" i="15"/>
  <c r="C27" i="15"/>
  <c r="D27" i="15"/>
  <c r="E27" i="15"/>
  <c r="F27" i="15"/>
  <c r="G27" i="15"/>
  <c r="H27" i="15"/>
  <c r="I27" i="15"/>
  <c r="J27" i="15"/>
  <c r="K27" i="15"/>
  <c r="B27" i="15"/>
  <c r="H87" i="1" l="1"/>
  <c r="J84" i="1"/>
  <c r="F84" i="1" l="1"/>
  <c r="G84" i="1"/>
  <c r="H84" i="1"/>
  <c r="L84" i="1"/>
  <c r="I84" i="1"/>
  <c r="E84" i="1"/>
  <c r="D84" i="1"/>
  <c r="M89" i="1"/>
  <c r="M85" i="1"/>
  <c r="K84" i="1"/>
  <c r="M86" i="1"/>
  <c r="C84" i="1"/>
  <c r="L88" i="1"/>
  <c r="K88" i="1"/>
  <c r="J88" i="1"/>
  <c r="I88" i="1"/>
  <c r="H88" i="1"/>
  <c r="G88" i="1"/>
  <c r="F88" i="1"/>
  <c r="E88" i="1"/>
  <c r="D88" i="1"/>
  <c r="C88" i="1"/>
  <c r="L87" i="1"/>
  <c r="K87" i="1"/>
  <c r="J87" i="1"/>
  <c r="I87" i="1"/>
  <c r="G87" i="1"/>
  <c r="F87" i="1"/>
  <c r="E87" i="1"/>
  <c r="D87" i="1"/>
  <c r="C87" i="1"/>
  <c r="M88" i="1" l="1"/>
  <c r="M87" i="1"/>
  <c r="M84"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existingnstable" description="Connection to the 'existingnstable' query in the workbook." type="5" refreshedVersion="6" background="1" saveData="1">
    <dbPr connection="Provider=Microsoft.Mashup.OleDb.1;Data Source=$Workbook$;Location=existingnstable;Extended Properties=&quot;&quot;" command="SELECT * FROM [existingnstable]"/>
  </connection>
  <connection id="2" xr16:uid="{00000000-0015-0000-FFFF-FFFF01000000}" keepAlive="1" name="Query - existingstable" description="Connection to the 'existingstable' query in the workbook." type="5" refreshedVersion="6" background="1" saveData="1">
    <dbPr connection="Provider=Microsoft.Mashup.OleDb.1;Data Source=$Workbook$;Location=existingstable;Extended Properties=&quot;&quot;" command="SELECT * FROM [existingstable]"/>
  </connection>
  <connection id="3" xr16:uid="{00000000-0015-0000-FFFF-FFFF02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 id="4" xr16:uid="{00000000-0015-0000-FFFF-FFFF03000000}" keepAlive="1" name="Query - newdevtable" description="Connection to the 'newdevtable' query in the workbook." type="5" refreshedVersion="6" background="1" saveData="1">
    <dbPr connection="Provider=Microsoft.Mashup.OleDb.1;Data Source=$Workbook$;Location=newdevtable;Extended Properties=&quot;&quot;" command="SELECT * FROM [newdevtable]"/>
  </connection>
  <connection id="5" xr16:uid="{00000000-0015-0000-FFFF-FFFF04000000}" keepAlive="1" name="Query - sumcapsalltable" description="Connection to the 'sumcapsalltable' query in the workbook." type="5" refreshedVersion="6" background="1" saveData="1">
    <dbPr connection="Provider=Microsoft.Mashup.OleDb.1;Data Source=$Workbook$;Location=sumcapsalltable;Extended Properties=&quot;&quot;" command="SELECT * FROM [sumcapsalltable]"/>
  </connection>
  <connection id="6" xr16:uid="{00000000-0015-0000-FFFF-FFFF05000000}" keepAlive="1" name="Query - sumcapsSStable" description="Connection to the 'sumcapsSStable' query in the workbook." type="5" refreshedVersion="6" background="1" saveData="1">
    <dbPr connection="Provider=Microsoft.Mashup.OleDb.1;Data Source=$Workbook$;Location=sumcapsSStable;Extended Properties=&quot;&quot;" command="SELECT * FROM [sumcapsSStable]"/>
  </connection>
  <connection id="7" xr16:uid="{00000000-0015-0000-FFFF-FFFF06000000}" keepAlive="1" name="Query - sumcapsStable" description="Connection to the 'sumcapsStable' query in the workbook." type="5" refreshedVersion="6" background="1" saveData="1">
    <dbPr connection="Provider=Microsoft.Mashup.OleDb.1;Data Source=$Workbook$;Location=sumcapsStable;Extended Properties=&quot;&quot;" command="SELECT * FROM [sumcapsStable]"/>
  </connection>
  <connection id="8" xr16:uid="{00000000-0015-0000-FFFF-FFFF07000000}" keepAlive="1" name="Query - wincapsalltable" description="Connection to the 'wincapsalltable' query in the workbook." type="5" refreshedVersion="6" background="1" saveData="1">
    <dbPr connection="Provider=Microsoft.Mashup.OleDb.1;Data Source=$Workbook$;Location=wincapsalltable;Extended Properties=&quot;&quot;" command="SELECT * FROM [wincapsalltable]"/>
  </connection>
  <connection id="9" xr16:uid="{00000000-0015-0000-FFFF-FFFF08000000}" keepAlive="1" name="Query - wincapsSStable" description="Connection to the 'wincapsSStable' query in the workbook." type="5" refreshedVersion="6" background="1" saveData="1">
    <dbPr connection="Provider=Microsoft.Mashup.OleDb.1;Data Source=$Workbook$;Location=wincapsSStable;Extended Properties=&quot;&quot;" command="SELECT * FROM [wincapsSStable]"/>
  </connection>
  <connection id="10" xr16:uid="{00000000-0015-0000-FFFF-FFFF09000000}" keepAlive="1" name="Query - wincapsStable" description="Connection to the 'wincapsStable' query in the workbook." type="5" refreshedVersion="6" background="1" saveData="1">
    <dbPr connection="Provider=Microsoft.Mashup.OleDb.1;Data Source=$Workbook$;Location=wincapsStable;Extended Properties=&quot;&quot;" command="SELECT * FROM [wincapsStable]"/>
  </connection>
</connections>
</file>

<file path=xl/sharedStrings.xml><?xml version="1.0" encoding="utf-8"?>
<sst xmlns="http://schemas.openxmlformats.org/spreadsheetml/2006/main" count="1326" uniqueCount="345">
  <si>
    <t>Existing &amp; committed scheduled and semi-scheduled generation</t>
  </si>
  <si>
    <t>Power Station</t>
  </si>
  <si>
    <t>Owner</t>
  </si>
  <si>
    <t>Technology Type</t>
  </si>
  <si>
    <t>Fuel Type</t>
  </si>
  <si>
    <t>Dispatch Type</t>
  </si>
  <si>
    <t>Service Status</t>
  </si>
  <si>
    <t>Region</t>
  </si>
  <si>
    <t>S</t>
  </si>
  <si>
    <t>In Service</t>
  </si>
  <si>
    <t>Wind - Onshore</t>
  </si>
  <si>
    <t>Wind</t>
  </si>
  <si>
    <t>SS</t>
  </si>
  <si>
    <t>OCGT</t>
  </si>
  <si>
    <t>Natural Gas Pipeline</t>
  </si>
  <si>
    <t>Water</t>
  </si>
  <si>
    <t>Bastyan</t>
  </si>
  <si>
    <t>Hydro-Electric Corporation</t>
  </si>
  <si>
    <t>1 x 79.9</t>
  </si>
  <si>
    <t>Hydro - Gravity</t>
  </si>
  <si>
    <t>TAS</t>
  </si>
  <si>
    <t>Bell Bay Three</t>
  </si>
  <si>
    <t>AETV Pty Ltd</t>
  </si>
  <si>
    <t>3 x 40</t>
  </si>
  <si>
    <t>AGL</t>
  </si>
  <si>
    <t>Solar</t>
  </si>
  <si>
    <t>Catagunya / Liapootah / Wayatinah</t>
  </si>
  <si>
    <t>3 x 12.8
2 x 24
3 x 27.9</t>
  </si>
  <si>
    <t>Cethana</t>
  </si>
  <si>
    <t>1 x 85</t>
  </si>
  <si>
    <t>PV-Tracking Flat panel</t>
  </si>
  <si>
    <t>CCGT</t>
  </si>
  <si>
    <t>Devils Gate</t>
  </si>
  <si>
    <t>1 x 60</t>
  </si>
  <si>
    <t>Fisher</t>
  </si>
  <si>
    <t>1 x 43.2</t>
  </si>
  <si>
    <t>Gordon</t>
  </si>
  <si>
    <t>3 x 144</t>
  </si>
  <si>
    <t>Pump Storage</t>
  </si>
  <si>
    <t>John Butters</t>
  </si>
  <si>
    <t>1 x 144</t>
  </si>
  <si>
    <t>Lake Echo</t>
  </si>
  <si>
    <t>1 x 32.4</t>
  </si>
  <si>
    <t>Lemonthyme / Wilmot</t>
  </si>
  <si>
    <t>1 x 30.6
1 x 51</t>
  </si>
  <si>
    <t>Announced Withdrawal</t>
  </si>
  <si>
    <t>Mackintosh</t>
  </si>
  <si>
    <t>Meadowbank</t>
  </si>
  <si>
    <t>1 x 40</t>
  </si>
  <si>
    <t>Woolnorth Wind Farm Holding Pty Ltd</t>
  </si>
  <si>
    <t>56 x 3</t>
  </si>
  <si>
    <t>Poatina</t>
  </si>
  <si>
    <t>6 x 50</t>
  </si>
  <si>
    <t>Reece</t>
  </si>
  <si>
    <t>2 x 115.6</t>
  </si>
  <si>
    <t>Tamar Valley Combined Cycle</t>
  </si>
  <si>
    <t>1 x 140
1 x 68</t>
  </si>
  <si>
    <t>Tamar Valley Peaking</t>
  </si>
  <si>
    <t>1 x 58</t>
  </si>
  <si>
    <t>Tarraleah</t>
  </si>
  <si>
    <t>6 x 15</t>
  </si>
  <si>
    <t>Trevallyn</t>
  </si>
  <si>
    <t>2 x 20
2 x 26.5</t>
  </si>
  <si>
    <t>Tribute</t>
  </si>
  <si>
    <t>1 x 82.8</t>
  </si>
  <si>
    <t>Tungatinah</t>
  </si>
  <si>
    <t>5 x 25</t>
  </si>
  <si>
    <t>Total</t>
  </si>
  <si>
    <t>1</t>
  </si>
  <si>
    <t>10</t>
  </si>
  <si>
    <t>Existing non-scheduled generation</t>
  </si>
  <si>
    <t>Nameplate Capacity (MW)</t>
  </si>
  <si>
    <t>In service</t>
  </si>
  <si>
    <t>LMS Energy Pty Ltd</t>
  </si>
  <si>
    <t>Landfill Methane / Landfill Gas</t>
  </si>
  <si>
    <t>Butlers Gorge</t>
  </si>
  <si>
    <t>Cluny</t>
  </si>
  <si>
    <t>Glenorchy</t>
  </si>
  <si>
    <t>Hobart</t>
  </si>
  <si>
    <t>Lake Margaret</t>
  </si>
  <si>
    <t>Lower Lake Margaret</t>
  </si>
  <si>
    <t>Paloona</t>
  </si>
  <si>
    <t>Remount</t>
  </si>
  <si>
    <t>Repulse</t>
  </si>
  <si>
    <t>Rowallan</t>
  </si>
  <si>
    <t>Tods Corner</t>
  </si>
  <si>
    <t>Woolnorth Studland Bay / Bluff Point</t>
  </si>
  <si>
    <t>Projects under development</t>
  </si>
  <si>
    <t>Project</t>
  </si>
  <si>
    <t>Unit Status</t>
  </si>
  <si>
    <t>Full Commercial Use Date</t>
  </si>
  <si>
    <t>TBA</t>
  </si>
  <si>
    <t>No</t>
  </si>
  <si>
    <t>NS</t>
  </si>
  <si>
    <t>144</t>
  </si>
  <si>
    <t>George Town Solar</t>
  </si>
  <si>
    <t>1-31</t>
  </si>
  <si>
    <t>Granville Harbour Wind Farm</t>
  </si>
  <si>
    <t>Granville Harbour Operations Pty Ltd as trustee for Granville Harbour Operations Trust</t>
  </si>
  <si>
    <t>111.6</t>
  </si>
  <si>
    <t>12.5</t>
  </si>
  <si>
    <t>Low Head Wind Farm</t>
  </si>
  <si>
    <t>Low Head Wind Farm Pty Ltd</t>
  </si>
  <si>
    <t>Units 1-10</t>
  </si>
  <si>
    <t>42</t>
  </si>
  <si>
    <t>Dec 2019</t>
  </si>
  <si>
    <t>Wesley Vale Solar</t>
  </si>
  <si>
    <t>Wild Cattle Hill Wind Farm</t>
  </si>
  <si>
    <t>Wild Cattle Hill Pty Ltd</t>
  </si>
  <si>
    <t>1-49</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</si>
  <si>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</si>
  <si>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</si>
  <si>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</si>
  <si>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</si>
  <si>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</si>
  <si>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</si>
  <si>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</si>
  <si>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</si>
  <si>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</si>
  <si>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</si>
  <si>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</si>
  <si>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</si>
  <si>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</si>
  <si>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</si>
  <si>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</si>
  <si>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</si>
  <si>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</si>
  <si>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</si>
  <si>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</si>
  <si>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</si>
  <si>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G7 Generation</t>
  </si>
  <si>
    <t>Please read the full disclaimer at</t>
  </si>
  <si>
    <t>http://www.aemo.com.au/Electricity/National-Electricity-Market-NEM/Planning-and-forecasting/Generation-information</t>
  </si>
  <si>
    <t>Tasmania Summary</t>
  </si>
  <si>
    <t>Changes since last update</t>
  </si>
  <si>
    <r>
      <rPr>
        <b/>
        <sz val="9"/>
        <rFont val="Arial"/>
        <family val="2"/>
      </rPr>
      <t>Granville Harbour Wind Farm:</t>
    </r>
    <r>
      <rPr>
        <sz val="9"/>
        <rFont val="Arial"/>
        <family val="2"/>
      </rPr>
      <t xml:space="preserve"> Granville Harbour Wind Farm (111.6 MW) is now reported as committed as Palisade Investment Partners Pty Ltd advises construction has commenced.</t>
    </r>
  </si>
  <si>
    <t xml:space="preserve">Generation withdrawals  </t>
  </si>
  <si>
    <t>None to report.</t>
  </si>
  <si>
    <t xml:space="preserve">Announced withdrawals (i.e. Mothballed, Seasonal Shut down etc.)           </t>
  </si>
  <si>
    <r>
      <rPr>
        <b/>
        <sz val="9"/>
        <rFont val="Arial"/>
        <family val="2"/>
      </rPr>
      <t>Tamar Valley CCGT:</t>
    </r>
    <r>
      <rPr>
        <sz val="9"/>
        <rFont val="Arial"/>
        <family val="2"/>
      </rPr>
      <t xml:space="preserve"> Hydro Tasmania advises that the Tamar Valley CCGT (208 MW) will be withdrawn after May 2017, but is available for operation with less than 3 months' notice.</t>
    </r>
  </si>
  <si>
    <t>Committed projects</t>
  </si>
  <si>
    <r>
      <rPr>
        <b/>
        <sz val="9"/>
        <rFont val="Arial"/>
        <family val="2"/>
      </rPr>
      <t xml:space="preserve">Coal, CCGT, OCGT, Gas other, Water, Solar, Biomass, Geo-thermal, Other : </t>
    </r>
    <r>
      <rPr>
        <sz val="9"/>
        <rFont val="Arial"/>
        <family val="2"/>
      </rPr>
      <t>None to report.</t>
    </r>
  </si>
  <si>
    <t xml:space="preserve">Proposed projects </t>
  </si>
  <si>
    <t>Please refer to information presented in the worksheet titled 'New Developments'.</t>
  </si>
  <si>
    <t xml:space="preserve">Plant limitations </t>
  </si>
  <si>
    <r>
      <t>Bastyan Power Station:</t>
    </r>
    <r>
      <rPr>
        <sz val="9"/>
        <rFont val="Arial"/>
        <family val="2"/>
      </rPr>
      <t xml:space="preserve"> Hydro-Electric Corporation advises that Bastyan's available capacity will be (zero) 0 MW during summer 2021-22.</t>
    </r>
  </si>
  <si>
    <r>
      <rPr>
        <b/>
        <sz val="9"/>
        <rFont val="Arial"/>
        <family val="2"/>
      </rPr>
      <t>Catagunyah/Liapootah/Wayatinah Power Station:</t>
    </r>
    <r>
      <rPr>
        <sz val="9"/>
        <rFont val="Arial"/>
        <family val="2"/>
      </rPr>
      <t xml:space="preserve"> Hydro-Electric Corporation advises that Catagunyah/Liapootah/Wayatinah Power Stations will undergo the following outages:</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</si>
  <si>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</si>
  <si>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2018–19</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</si>
  <si>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</si>
  <si>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</si>
  <si>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 xml:space="preserve">Devils Gate Power Station: </t>
    </r>
    <r>
      <rPr>
        <sz val="9"/>
        <rFont val="Arial"/>
        <family val="2"/>
      </rPr>
      <t>Hydro-Electric Corporation advises that Devils Gate’s available capacity will be (zero) 0 MW during summer 2017-18 and winter 2018.</t>
    </r>
  </si>
  <si>
    <r>
      <t xml:space="preserve">Gordon Power Station: </t>
    </r>
    <r>
      <rPr>
        <sz val="9"/>
        <rFont val="Arial"/>
        <family val="2"/>
      </rPr>
      <t>Hydro-Electric Corporation advises that Gordon's available capacity will reduced to 371 MW (-25) MW during summer and winter due to lower storage levels. Also, the station will undergo the following outages:</t>
    </r>
  </si>
  <si>
    <r>
      <t>·</t>
    </r>
    <r>
      <rPr>
        <sz val="7"/>
        <color rgb="FF000000"/>
        <rFont val="Times New Roman"/>
        <family val="1"/>
      </rPr>
      <t xml:space="preserve">      </t>
    </r>
    <r>
      <rPr>
        <sz val="9"/>
        <color rgb="FF000000"/>
        <rFont val="Arial"/>
        <family val="2"/>
      </rPr>
      <t>Gordon Unit 1 will be unavailable during:</t>
    </r>
  </si>
  <si>
    <r>
      <t>-</t>
    </r>
    <r>
      <rPr>
        <sz val="7"/>
        <rFont val="Times New Roman"/>
        <family val="1"/>
      </rPr>
      <t xml:space="preserve">     </t>
    </r>
    <r>
      <rPr>
        <sz val="9"/>
        <rFont val="Arial"/>
        <family val="2"/>
      </rPr>
      <t>summer 2022–23</t>
    </r>
  </si>
  <si>
    <r>
      <t>·</t>
    </r>
    <r>
      <rPr>
        <sz val="7"/>
        <color rgb="FF000000"/>
        <rFont val="Times New Roman"/>
        <family val="1"/>
      </rPr>
      <t xml:space="preserve">      </t>
    </r>
    <r>
      <rPr>
        <sz val="9"/>
        <color rgb="FF000000"/>
        <rFont val="Arial"/>
        <family val="2"/>
      </rPr>
      <t>Gordon Unit 2 will be unavailable during:</t>
    </r>
  </si>
  <si>
    <r>
      <t>-</t>
    </r>
    <r>
      <rPr>
        <sz val="7"/>
        <rFont val="Times New Roman"/>
        <family val="1"/>
      </rPr>
      <t xml:space="preserve">     </t>
    </r>
    <r>
      <rPr>
        <sz val="9"/>
        <rFont val="Arial"/>
        <family val="2"/>
      </rPr>
      <t>summer 2021–22</t>
    </r>
  </si>
  <si>
    <r>
      <t>·</t>
    </r>
    <r>
      <rPr>
        <sz val="7"/>
        <color rgb="FF000000"/>
        <rFont val="Times New Roman"/>
        <family val="1"/>
      </rPr>
      <t xml:space="preserve">      </t>
    </r>
    <r>
      <rPr>
        <sz val="9"/>
        <color rgb="FF000000"/>
        <rFont val="Arial"/>
        <family val="2"/>
      </rPr>
      <t>Gordon Unit 3 will be unavailable during:</t>
    </r>
  </si>
  <si>
    <r>
      <t>-</t>
    </r>
    <r>
      <rPr>
        <sz val="7"/>
        <rFont val="Times New Roman"/>
        <family val="1"/>
      </rPr>
      <t xml:space="preserve">     </t>
    </r>
    <r>
      <rPr>
        <sz val="9"/>
        <rFont val="Arial"/>
        <family val="2"/>
      </rPr>
      <t>summer 2023–24</t>
    </r>
  </si>
  <si>
    <r>
      <t>John Butters Station:</t>
    </r>
    <r>
      <rPr>
        <sz val="9"/>
        <rFont val="Arial"/>
        <family val="2"/>
      </rPr>
      <t xml:space="preserve"> Hydro-Electric Corporation advises that John Butters' available capacity will be (zero) 0 MW during summer 2024-25 and winter 2025.</t>
    </r>
  </si>
  <si>
    <r>
      <t xml:space="preserve">Lake Echo Power Station: </t>
    </r>
    <r>
      <rPr>
        <sz val="9"/>
        <rFont val="Arial"/>
        <family val="2"/>
      </rPr>
      <t>Hydro-Electric Corporation advises that Lake Echo's available capacity will be (zero) 0 MW during winter 2018, 2019, 2020 and 2024.</t>
    </r>
  </si>
  <si>
    <r>
      <t xml:space="preserve">Lemonthyme/Wilmot Power Station: </t>
    </r>
    <r>
      <rPr>
        <sz val="9"/>
        <rFont val="Arial"/>
        <family val="2"/>
      </rPr>
      <t>Hydro-Electric Corporation advises that Lemonthyme/Wilmot's available capacity will be 54 MW during summer 2017-18 and summer 2020-21, and 32 MW during summer 2019-20.</t>
    </r>
  </si>
  <si>
    <r>
      <t xml:space="preserve">Mackintosh Power Station: </t>
    </r>
    <r>
      <rPr>
        <sz val="9"/>
        <rFont val="Arial"/>
        <family val="2"/>
      </rPr>
      <t>Hydro-Electric Corporation advises that Mackintosh's available capacity will be (zero) 0 MW during summer 2022-23.</t>
    </r>
  </si>
  <si>
    <r>
      <t xml:space="preserve">Reece Power Station: </t>
    </r>
    <r>
      <rPr>
        <sz val="9"/>
        <rFont val="Arial"/>
        <family val="2"/>
      </rPr>
      <t>Hydro-Electric Corporation advises that Reece's available capacity will be 116 MW during summer 2023-24 and 2025-26 due to an outage.</t>
    </r>
  </si>
  <si>
    <t>Tarraleah Power Station: Hydro-Electric Corporation advises that Tarraleah’s available capacity will be:</t>
  </si>
  <si>
    <t>•       75 MW from winter 2022 to summer 2024-25 due to outages of Units 1, 2 and 3.</t>
  </si>
  <si>
    <t>Trevallyn Power Station: Hydro-Electric Corporation advises that Trevallyn’s available capacity will be:</t>
  </si>
  <si>
    <t>•       81.9 MW during summer 2019–20 due to outages of Unit 1.</t>
  </si>
  <si>
    <t>•       0 MW during summer 2020–21 due to outages</t>
  </si>
  <si>
    <t>Tungatinah Power Station: Hydro-Electric Corporation advises that Tungatinah’s available capacity will be:</t>
  </si>
  <si>
    <t>•       104.4 MW during summer 2019-20 due to outages</t>
  </si>
  <si>
    <t>•       104.4 MW during summer 2021–22 due to outages</t>
  </si>
  <si>
    <r>
      <t xml:space="preserve">Tribute: </t>
    </r>
    <r>
      <rPr>
        <sz val="9"/>
        <rFont val="Arial"/>
        <family val="2"/>
      </rPr>
      <t>Hydro-Electric Corporation advises that Tribute's available capacity will be (zero) 0 MW during summer 2025-26.</t>
    </r>
  </si>
  <si>
    <t>Tasmania existing and potential new developments by generation type (MW)</t>
  </si>
  <si>
    <t>Tasmania Change Log</t>
  </si>
  <si>
    <t>Lists all key updates to new development projects and existing generation information between publication dates since the 2012 ESOO.</t>
  </si>
  <si>
    <t>Publication date:</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</si>
  <si>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</si>
  <si>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r>
      <rPr>
        <b/>
        <sz val="9"/>
        <color theme="1"/>
        <rFont val="Arial"/>
        <family val="2"/>
      </rPr>
      <t>Poatina Power Station:</t>
    </r>
    <r>
      <rPr>
        <sz val="9"/>
        <color theme="1"/>
        <rFont val="Arial"/>
        <family val="2"/>
      </rPr>
      <t xml:space="preserve"> Hydro Tasmania advises that the Poatina plant has revised its available capacity from 300 MW to 342 MW (+42 MW) in summer and winter, based on operating experience.</t>
    </r>
  </si>
  <si>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</si>
  <si>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</si>
  <si>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</si>
  <si>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</si>
  <si>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r>
      <t>Tamar Valley OCGT (Bell Bay Three &amp; TVPP104)</t>
    </r>
    <r>
      <rPr>
        <sz val="9"/>
        <rFont val="Arial"/>
        <family val="2"/>
      </rPr>
      <t>: Hydro-Electric Corporation advises that TVPP104 available capacity will be (zero) 0 MW during summer 2015-16, specifically between 4/9/2015 and 4/3/2016 due to a major outage.</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</si>
  <si>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</si>
  <si>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</si>
  <si>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</si>
  <si>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</si>
  <si>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r>
      <rPr>
        <b/>
        <sz val="9"/>
        <rFont val="Arial"/>
        <family val="2"/>
      </rPr>
      <t xml:space="preserve">Tungatinah Power Station: </t>
    </r>
    <r>
      <rPr>
        <sz val="9"/>
        <rFont val="Arial"/>
        <family val="2"/>
      </rPr>
      <t>Hydro-Electric Corporation advises that Tungatinah’s available capacity will be:</t>
    </r>
  </si>
  <si>
    <t>•       104.4 MW during summer 2019–20 due to outages of Unit 3.</t>
  </si>
  <si>
    <t>•       78.3 MW during summer 2014-15 due to outages of Unit 4 and Unit 5.</t>
  </si>
  <si>
    <t>•       104.4 MW during summer 2015-16 due to outages of Unit 4, specifically between 30/11/2015-17/6/2016 due to a major refurbishment project.</t>
  </si>
  <si>
    <r>
      <t xml:space="preserve">Tamar Valley CCGT: </t>
    </r>
    <r>
      <rPr>
        <sz val="9"/>
        <rFont val="Arial"/>
        <family val="2"/>
      </rPr>
      <t>Hydro Tasmania have advised that Tamar Valley CCGT (208 MW) unit is currently in dry lay up. On 13 August 2015, the Tasmanian Government gave approval for Hydro Tasmania to decommission and sell the combined cycle gas turbine.</t>
    </r>
  </si>
  <si>
    <r>
      <t xml:space="preserve">Tamar Valley Peaking: </t>
    </r>
    <r>
      <rPr>
        <sz val="9"/>
        <rFont val="Arial"/>
        <family val="2"/>
      </rPr>
      <t>Hydro Tasmania have advised that Tamar Valley Peaking (58 MW) unit is currently withdrawn and is  to return back to service in June 2016.</t>
    </r>
  </si>
  <si>
    <r>
      <t xml:space="preserve">Bell Bay Three Power Station: </t>
    </r>
    <r>
      <rPr>
        <sz val="9"/>
        <rFont val="Arial"/>
        <family val="2"/>
      </rPr>
      <t>Hydro Tasmania have advised that Bell Bay Three Power Stations available capacity will be 75 MW (-45 MW) for Summer 2015-16, 2016-17 and Winter 2016, 2017. Hydro Tasmania also advised the power station is to be withdrawn from service from 1 January 2018 and onwards.</t>
    </r>
  </si>
  <si>
    <r>
      <t xml:space="preserve">Tamar Valley CCGT: </t>
    </r>
    <r>
      <rPr>
        <sz val="9"/>
        <rFont val="Arial"/>
        <family val="2"/>
      </rPr>
      <t>Hydro Tasmania have advised that Tamar Valley CCGT (208 MW) unit has been recommissioned and running since 19 January 2016.</t>
    </r>
  </si>
  <si>
    <r>
      <t xml:space="preserve">Tamar Valley OCGT: </t>
    </r>
    <r>
      <rPr>
        <sz val="9"/>
        <rFont val="Arial"/>
        <family val="2"/>
      </rPr>
      <t>Hydro Tasmania have advised that Tamar Valley Peaking (58 MW) unit is currently withdrawn and is  to return back to service in April 2016.</t>
    </r>
  </si>
  <si>
    <r>
      <t xml:space="preserve">Bell Bay Three Power Station: </t>
    </r>
    <r>
      <rPr>
        <sz val="9"/>
        <rFont val="Arial"/>
        <family val="2"/>
      </rPr>
      <t>Hydro Tasmania have advised that Bell Bay Three Power Stations available capacity will be 105 MW (15 MW) for Summer 2015-16, 2016-17 and Winter 2016, 2017. Hydro Tasmania also advised the power station is to be withdrawn from service from 1 January 2018 and onwards.</t>
    </r>
  </si>
  <si>
    <r>
      <t xml:space="preserve">Tamar Valley OCGT: </t>
    </r>
    <r>
      <rPr>
        <sz val="9"/>
        <rFont val="Arial"/>
        <family val="2"/>
      </rPr>
      <t>Hydro Tasmania have advised that Tamar Valley Peaking (58 MW) unit is currently withdrawn and is to return back to service in April 2016.</t>
    </r>
  </si>
  <si>
    <r>
      <t xml:space="preserve">Bell Bay Power Station: </t>
    </r>
    <r>
      <rPr>
        <sz val="9"/>
        <rFont val="Arial"/>
        <family val="2"/>
      </rPr>
      <t>Hydro Tasmania advises that Bell Bay  Power Station (105 MW) will no longer be withdrawn from service from 1 January 2018 onwards.</t>
    </r>
  </si>
  <si>
    <r>
      <t xml:space="preserve">Tamar Valley CCGT : </t>
    </r>
    <r>
      <rPr>
        <sz val="9"/>
        <rFont val="Arial"/>
        <family val="2"/>
      </rPr>
      <t>Hydro Tasmania advises that Tamar Valley CCGT (208 MW) has been withdrawn from service since May 2016.</t>
    </r>
  </si>
  <si>
    <r>
      <t>Tamar Valley CCGT:</t>
    </r>
    <r>
      <rPr>
        <sz val="9"/>
        <rFont val="Arial"/>
        <family val="2"/>
      </rPr>
      <t xml:space="preserve"> Hydro Tasmania advises that the Tamar Valley CCGT (208 MW) is available for operation with less than 3 months' notice and will next return to service in summer 2016-17.</t>
    </r>
  </si>
  <si>
    <r>
      <rPr>
        <b/>
        <sz val="9"/>
        <rFont val="Arial"/>
        <family val="2"/>
      </rPr>
      <t>Tamar Valley CCGT:</t>
    </r>
    <r>
      <rPr>
        <sz val="9"/>
        <rFont val="Arial"/>
        <family val="2"/>
      </rPr>
      <t xml:space="preserve"> Hydro Tasmania advises that the Tamar Valley CCGT (208 MW) has returned to service in summer 2016-17. It will be withdrawn after summer 2016-17, but available for operation with less than 3 months' notice.</t>
    </r>
  </si>
  <si>
    <r>
      <rPr>
        <b/>
        <sz val="9"/>
        <rFont val="Arial"/>
        <family val="2"/>
      </rPr>
      <t>Tamar Valley CCGT:</t>
    </r>
    <r>
      <rPr>
        <sz val="9"/>
        <rFont val="Arial"/>
        <family val="2"/>
      </rPr>
      <t xml:space="preserve"> Hydro Tasmania advises that the Tamar Valley CCGT (208 MW) will be withdrawn after April 2018, but is available for operation with less than 3 months' notice.</t>
    </r>
  </si>
  <si>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</si>
  <si>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</si>
  <si>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</si>
  <si>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</si>
  <si>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</si>
  <si>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</si>
  <si>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</si>
  <si>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</si>
  <si>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</si>
  <si>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</si>
  <si>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</si>
  <si>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New South Wales</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</si>
  <si>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</si>
  <si>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</si>
  <si>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</si>
  <si>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</si>
  <si>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</si>
  <si>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</si>
  <si>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</si>
  <si>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</si>
  <si>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</si>
  <si>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</si>
  <si>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</si>
  <si>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</si>
  <si>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</si>
  <si>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</si>
  <si>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</si>
  <si>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</si>
  <si>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r>
      <rPr>
        <b/>
        <sz val="9"/>
        <rFont val="Arial"/>
        <family val="2"/>
      </rPr>
      <t>Wild Cattle Hill Wind Farm:</t>
    </r>
    <r>
      <rPr>
        <sz val="9"/>
        <rFont val="Arial"/>
        <family val="2"/>
      </rPr>
      <t xml:space="preserve"> Wild Cattle Hill Wind Farm (144 MW) is now reported as committed as Wild Cattle Hill Pty Ltd advises construction has commenced.</t>
    </r>
  </si>
  <si>
    <r>
      <t xml:space="preserve">Wind: </t>
    </r>
    <r>
      <rPr>
        <sz val="9"/>
        <rFont val="Arial"/>
        <family val="2"/>
      </rPr>
      <t xml:space="preserve">Granville Harbour Wind Farm (111.6 MW), Wild Cattle Hill Wind Farm (144 MW) </t>
    </r>
  </si>
  <si>
    <t>St Patrick's College Launceston</t>
  </si>
  <si>
    <t>PV Panels</t>
  </si>
  <si>
    <t>Summer aggregate available scheduled and semi-scheduled generation</t>
  </si>
  <si>
    <t>PowerStation</t>
  </si>
  <si>
    <t>FuelType</t>
  </si>
  <si>
    <t>Season</t>
  </si>
  <si>
    <t>Hydro</t>
  </si>
  <si>
    <t>summer</t>
  </si>
  <si>
    <t>Fossil</t>
  </si>
  <si>
    <t>The table above lists the latest Summer capacities for Tasmanian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</si>
  <si>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10.5% of the installed capacity during summer, and 7.3% during winter, based on AEMO's analysis of historical wind output over summer 2012-13 to 2016-17, and winter 2013 - 2017.</t>
  </si>
  <si>
    <t>The two tables below have been included to better represent the supply availability in Tasmania,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</si>
  <si>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</si>
  <si>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</si>
  <si>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Summer aggregate available semi-scheduled generation</t>
  </si>
  <si>
    <t>Total (Wind)</t>
  </si>
  <si>
    <t>Winter aggregate available scheduled and semi-scheduled generation</t>
  </si>
  <si>
    <t>winter</t>
  </si>
  <si>
    <t>The table above lists the latest Winter capacities for Tasmanian generation. Winter conditions relate to statistically predicted contribution under 10% POE maximum demand conditions.</t>
  </si>
  <si>
    <t>The two tables below have been included to better represent the supply availability in Tasmania,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</si>
  <si>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</si>
  <si>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</si>
  <si>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Western Plains Wind Farm</t>
  </si>
  <si>
    <t>Units 1 - 13</t>
  </si>
  <si>
    <t>Spark Ignition  Reciprocating Engine</t>
  </si>
  <si>
    <t>Source</t>
  </si>
  <si>
    <t>http://epuron.com.au/solar/george-town-solar/</t>
  </si>
  <si>
    <t>http://www.westcoastwind.com.au/</t>
  </si>
  <si>
    <t xml:space="preserve">http://epuron.com.au/solar/wesley-vale-solar/ </t>
  </si>
  <si>
    <t>http://epuron.com.au/wind/stanley-wind-farm/</t>
  </si>
  <si>
    <t xml:space="preserve">Summer 2019-20_x000D_
</t>
  </si>
  <si>
    <t xml:space="preserve"> </t>
  </si>
  <si>
    <t>Generation capacity in the NEM</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</si>
  <si>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</si>
  <si>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</si>
  <si>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</si>
  <si>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 Solar excludes rooftop PV installations</t>
  </si>
  <si>
    <t>Solar*</t>
  </si>
  <si>
    <t>DispatchType</t>
  </si>
  <si>
    <t>2019</t>
  </si>
  <si>
    <t>2020</t>
  </si>
  <si>
    <t>2021</t>
  </si>
  <si>
    <t>2022</t>
  </si>
  <si>
    <t>2023</t>
  </si>
  <si>
    <t>2024</t>
  </si>
  <si>
    <t>2025</t>
  </si>
  <si>
    <t>2026</t>
  </si>
  <si>
    <t>2027</t>
  </si>
  <si>
    <t>2028</t>
  </si>
  <si>
    <t/>
  </si>
  <si>
    <t>5</t>
  </si>
  <si>
    <t>Robbins Island Wind Farm</t>
  </si>
  <si>
    <t>UPC Renewables</t>
  </si>
  <si>
    <t>Epuron Projects Pty Ltd</t>
  </si>
  <si>
    <t>40 - 60</t>
  </si>
  <si>
    <t>Battery of the Nation - Stage 1</t>
  </si>
  <si>
    <t>Hydro Tasmania</t>
  </si>
  <si>
    <t>TBD</t>
  </si>
  <si>
    <t>300</t>
  </si>
  <si>
    <t>Battery of the Nation - Stage 2</t>
  </si>
  <si>
    <t>600</t>
  </si>
  <si>
    <t>Battery of the Nation - Stage 3</t>
  </si>
  <si>
    <t>Battery of the Nation - Stage 4</t>
  </si>
  <si>
    <t>500</t>
  </si>
  <si>
    <t>Battery of the Nation - Stage 5</t>
  </si>
  <si>
    <t>2</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</si>
  <si>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</si>
  <si>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</si>
  <si>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</si>
  <si>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</si>
  <si>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</si>
  <si>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</si>
  <si>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</si>
  <si>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</si>
  <si>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</si>
  <si>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</si>
  <si>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</si>
  <si>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</si>
  <si>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Planning and Approvals</t>
  </si>
  <si>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</si>
  <si>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</si>
  <si>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</si>
  <si>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Unit Number and Nameplate Capacity (MW)</t>
  </si>
  <si>
    <t>Musselroe Wind Farm</t>
  </si>
  <si>
    <t>Midlands Hydro</t>
  </si>
  <si>
    <r>
      <rPr>
        <b/>
        <sz val="9"/>
        <color theme="1"/>
        <rFont val="Arial"/>
        <family val="2"/>
      </rPr>
      <t>TasWind (King Island):</t>
    </r>
    <r>
      <rPr>
        <sz val="9"/>
        <color theme="1"/>
        <rFont val="Arial"/>
        <family val="2"/>
      </rPr>
      <t xml:space="preserve">  Hydro Tasmania advises that the TasWind (King Island) project is publicly announced.</t>
    </r>
  </si>
  <si>
    <t>Note: Updated “Background Information” with changes to categories of proposed generation in the NEM.</t>
  </si>
  <si>
    <t>Com* - Identifies projects that are under construction, but AEMO has not been informed that the project meets all  commitment criteria.</t>
  </si>
  <si>
    <t>201819</t>
  </si>
  <si>
    <t>201920</t>
  </si>
  <si>
    <t>202021</t>
  </si>
  <si>
    <t>202122</t>
  </si>
  <si>
    <t>202223</t>
  </si>
  <si>
    <t>202324</t>
  </si>
  <si>
    <t>202425</t>
  </si>
  <si>
    <t>202526</t>
  </si>
  <si>
    <t>202627</t>
  </si>
  <si>
    <t>202728</t>
  </si>
  <si>
    <t xml:space="preserve">Granville Harbour Wind Farm_x000D_
</t>
  </si>
  <si>
    <t>Battery Storage</t>
  </si>
  <si>
    <t>Pumped Storage</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</si>
  <si>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</si>
  <si>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None to report</t>
  </si>
  <si>
    <t xml:space="preserve">Amendment: </t>
  </si>
  <si>
    <t>AEMO has subsequently removed the entry for "Bluff Point Wind Farm" from the list of Existing Non-Scheduled Generation, and subtracted the related capacity (65 MW) from the chart in the 'Tasmania Summary' worksheet, and on the Generation Information Page website.</t>
  </si>
  <si>
    <r>
      <t xml:space="preserve">Bluff Point Wind Farm: </t>
    </r>
    <r>
      <rPr>
        <sz val="9"/>
        <rFont val="Arial"/>
        <family val="2"/>
      </rPr>
      <t xml:space="preserve">Woolnorth Wind Farm Holding Pty Ltd advises that Bluff Point Wind Farm (65 MW) is accounted for within Woolnorth Studland Bay / Bluff Point (140 MW). </t>
    </r>
  </si>
  <si>
    <t>1000</t>
  </si>
  <si>
    <t xml:space="preserve">https://www.upcrenewables.com/pf/robbins-island/ </t>
  </si>
  <si>
    <t>Closure Date</t>
  </si>
  <si>
    <t>Unit Id</t>
  </si>
  <si>
    <t>Data presented is current as at 21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</si>
</sst>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8">
    <font>
      <sz val="11"/>
      <color rgb="FF000000"/>
      <name val="Calibri"/>
      <family val="2"/>
      <scheme val="minor"/>
    </font>
    <font>
      <sz val="11"/>
      <color theme="1"/>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b/>
      <sz val="8"/>
      <color theme="0"/>
      <name val="Arial"/>
      <family val="2"/>
    </font>
    <font>
      <u/>
      <sz val="11"/>
      <color theme="10"/>
      <name val="Calibri"/>
      <family val="2"/>
      <scheme val="minor"/>
    </font>
    <font>
      <u/>
      <sz val="10"/>
      <color theme="10"/>
      <name val="Arial"/>
      <family val="2"/>
    </font>
    <font>
      <b/>
      <sz val="10"/>
      <name val="Arial"/>
      <family val="2"/>
    </font>
    <font>
      <b/>
      <sz val="11"/>
      <color rgb="FFF47321"/>
      <name val="Arial"/>
      <family val="2"/>
    </font>
    <font>
      <sz val="9"/>
      <name val="Arial"/>
      <family val="2"/>
    </font>
    <font>
      <b/>
      <sz val="9"/>
      <name val="Arial"/>
      <family val="2"/>
    </font>
    <font>
      <b/>
      <sz val="9"/>
      <color rgb="FFF47321"/>
      <name val="Arial"/>
      <family val="2"/>
    </font>
    <font>
      <sz val="11"/>
      <color theme="1"/>
      <name val="Arial"/>
      <family val="2"/>
    </font>
    <font>
      <sz val="11"/>
      <name val="Arial"/>
      <family val="2"/>
    </font>
    <font>
      <sz val="9"/>
      <name val="Symbol"/>
      <family val="1"/>
      <charset val="2"/>
    </font>
    <font>
      <sz val="7"/>
      <name val="Times New Roman"/>
      <family val="1"/>
    </font>
    <font>
      <sz val="9"/>
      <color rgb="FF000000"/>
      <name val="Symbol"/>
      <family val="1"/>
      <charset val="2"/>
    </font>
    <font>
      <sz val="7"/>
      <color rgb="FF000000"/>
      <name val="Times New Roman"/>
      <family val="1"/>
    </font>
    <font>
      <sz val="9"/>
      <color rgb="FF000000"/>
      <name val="Arial"/>
      <family val="2"/>
    </font>
    <font>
      <b/>
      <sz val="9"/>
      <color theme="1"/>
      <name val="Arial"/>
      <family val="2"/>
    </font>
    <font>
      <sz val="9"/>
      <color theme="1"/>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0"/>
      <color theme="1"/>
      <name val="Arial"/>
      <family val="2"/>
    </font>
    <font>
      <sz val="11"/>
      <name val="Calibri"/>
      <family val="2"/>
      <scheme val="minor"/>
    </font>
    <font>
      <b/>
      <sz val="8"/>
      <color theme="1"/>
      <name val="Arial"/>
      <family val="2"/>
    </font>
    <font>
      <sz val="8"/>
      <color rgb="FFFF0000"/>
      <name val="Arial"/>
      <family val="2"/>
    </font>
  </fonts>
  <fills count="12">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FFFF"/>
        <bgColor indexed="64"/>
      </patternFill>
    </fill>
    <fill>
      <patternFill patternType="solid">
        <fgColor rgb="FFFFC000"/>
        <bgColor indexed="64"/>
      </patternFill>
    </fill>
  </fills>
  <borders count="20">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FFFFFF"/>
      </left>
      <right/>
      <top/>
      <bottom/>
      <diagonal/>
    </border>
    <border>
      <left/>
      <right style="medium">
        <color rgb="FFFFFFFF"/>
      </right>
      <top/>
      <bottom style="thick">
        <color rgb="FFF9F8F6"/>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
      <left style="medium">
        <color rgb="FFFFFFFF"/>
      </left>
      <right style="medium">
        <color rgb="FFFFFFFF"/>
      </right>
      <top/>
      <bottom/>
      <diagonal/>
    </border>
  </borders>
  <cellStyleXfs count="6">
    <xf numFmtId="0" fontId="0" fillId="0" borderId="0"/>
    <xf numFmtId="43" fontId="9" fillId="0" borderId="0" applyFont="0" applyFill="0" applyBorder="0" applyAlignment="0" applyProtection="0"/>
    <xf numFmtId="0" fontId="11" fillId="0" borderId="0" applyNumberFormat="0" applyFill="0" applyBorder="0" applyAlignment="0" applyProtection="0"/>
    <xf numFmtId="0" fontId="18" fillId="0" borderId="0"/>
    <xf numFmtId="0" fontId="9" fillId="0" borderId="0"/>
    <xf numFmtId="43" fontId="9" fillId="0" borderId="0" applyFont="0" applyFill="0" applyBorder="0" applyAlignment="0" applyProtection="0"/>
  </cellStyleXfs>
  <cellXfs count="190">
    <xf numFmtId="0" fontId="0" fillId="0" borderId="0" xfId="0"/>
    <xf numFmtId="0" fontId="2" fillId="0" borderId="1" xfId="0" applyFont="1" applyBorder="1" applyAlignment="1">
      <alignment horizontal="left"/>
    </xf>
    <xf numFmtId="0" fontId="3" fillId="2"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6" fillId="0" borderId="2" xfId="0" applyFont="1" applyBorder="1"/>
    <xf numFmtId="0" fontId="7" fillId="0" borderId="3" xfId="0" applyFont="1" applyBorder="1" applyAlignment="1">
      <alignment horizontal="left"/>
    </xf>
    <xf numFmtId="0" fontId="6" fillId="0" borderId="4" xfId="0" applyFont="1" applyBorder="1"/>
    <xf numFmtId="0" fontId="0" fillId="0" borderId="0" xfId="0"/>
    <xf numFmtId="0" fontId="6" fillId="0" borderId="0" xfId="0" applyFont="1" applyBorder="1"/>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0" borderId="0" xfId="0"/>
    <xf numFmtId="0" fontId="5" fillId="7" borderId="1" xfId="0" applyNumberFormat="1" applyFont="1" applyFill="1" applyBorder="1" applyAlignment="1">
      <alignment horizontal="center" vertical="center" wrapText="1"/>
    </xf>
    <xf numFmtId="0" fontId="5" fillId="7" borderId="8" xfId="0" applyNumberFormat="1" applyFont="1" applyFill="1" applyBorder="1" applyAlignment="1">
      <alignment horizontal="center" vertical="center" wrapText="1"/>
    </xf>
    <xf numFmtId="0" fontId="5" fillId="8" borderId="8" xfId="0" quotePrefix="1" applyNumberFormat="1" applyFont="1" applyFill="1" applyBorder="1" applyAlignment="1">
      <alignment horizontal="center" vertical="center"/>
    </xf>
    <xf numFmtId="0" fontId="5" fillId="7" borderId="8" xfId="0" applyNumberFormat="1" applyFont="1" applyFill="1" applyBorder="1" applyAlignment="1">
      <alignment horizontal="center" vertical="center"/>
    </xf>
    <xf numFmtId="0" fontId="4" fillId="6" borderId="1" xfId="0" applyNumberFormat="1" applyFont="1" applyFill="1" applyBorder="1" applyAlignment="1">
      <alignment horizontal="left" vertical="center" wrapText="1"/>
    </xf>
    <xf numFmtId="0" fontId="4" fillId="6" borderId="8" xfId="0" applyNumberFormat="1" applyFont="1" applyFill="1" applyBorder="1" applyAlignment="1">
      <alignment horizontal="left" vertical="center" wrapText="1"/>
    </xf>
    <xf numFmtId="0" fontId="5" fillId="8" borderId="1" xfId="0" applyNumberFormat="1" applyFont="1" applyFill="1" applyBorder="1" applyAlignment="1">
      <alignment horizontal="center" vertical="center" wrapText="1"/>
    </xf>
    <xf numFmtId="0" fontId="5" fillId="8" borderId="8" xfId="0" applyNumberFormat="1" applyFont="1" applyFill="1" applyBorder="1" applyAlignment="1">
      <alignment horizontal="center" vertical="center" wrapText="1"/>
    </xf>
    <xf numFmtId="1" fontId="5" fillId="8" borderId="1" xfId="0" applyNumberFormat="1" applyFont="1" applyFill="1" applyBorder="1" applyAlignment="1">
      <alignment horizontal="center" vertical="center"/>
    </xf>
    <xf numFmtId="1" fontId="5" fillId="8" borderId="8" xfId="0" applyNumberFormat="1" applyFont="1" applyFill="1" applyBorder="1" applyAlignment="1">
      <alignment horizontal="center" vertical="center"/>
    </xf>
    <xf numFmtId="0" fontId="8" fillId="0" borderId="0" xfId="0" applyFont="1"/>
    <xf numFmtId="0" fontId="0" fillId="0" borderId="0" xfId="0"/>
    <xf numFmtId="0" fontId="6" fillId="0" borderId="4" xfId="0" applyFont="1" applyBorder="1" applyAlignment="1">
      <alignment vertical="top" wrapText="1"/>
    </xf>
    <xf numFmtId="0" fontId="6" fillId="0" borderId="0" xfId="0" applyFont="1" applyBorder="1" applyAlignment="1">
      <alignment vertical="top" wrapText="1"/>
    </xf>
    <xf numFmtId="0" fontId="6" fillId="0" borderId="10" xfId="0" applyFont="1" applyBorder="1" applyAlignment="1">
      <alignment vertical="top" wrapText="1"/>
    </xf>
    <xf numFmtId="0" fontId="12" fillId="0" borderId="0" xfId="2" applyFont="1" applyBorder="1" applyAlignment="1">
      <alignment horizontal="left" vertical="top" wrapText="1"/>
    </xf>
    <xf numFmtId="0" fontId="13" fillId="0" borderId="0" xfId="0" applyFont="1" applyBorder="1" applyAlignment="1">
      <alignment horizontal="left"/>
    </xf>
    <xf numFmtId="0" fontId="14" fillId="9" borderId="0" xfId="0" applyFont="1" applyFill="1" applyAlignment="1">
      <alignment horizontal="left" vertical="center"/>
    </xf>
    <xf numFmtId="0" fontId="0" fillId="9" borderId="0" xfId="0" applyFill="1"/>
    <xf numFmtId="0" fontId="0" fillId="0" borderId="0" xfId="0" applyBorder="1"/>
    <xf numFmtId="0" fontId="15" fillId="9" borderId="0" xfId="0" applyFont="1" applyFill="1" applyAlignment="1">
      <alignment horizontal="left" vertical="center" wrapText="1"/>
    </xf>
    <xf numFmtId="0" fontId="17" fillId="10" borderId="0" xfId="0" applyFont="1" applyFill="1" applyAlignment="1">
      <alignment vertical="center"/>
    </xf>
    <xf numFmtId="0" fontId="14" fillId="10" borderId="0" xfId="0" applyFont="1" applyFill="1" applyAlignment="1">
      <alignment vertical="center"/>
    </xf>
    <xf numFmtId="0" fontId="16" fillId="9" borderId="0" xfId="0" applyFont="1" applyFill="1" applyAlignment="1">
      <alignment horizontal="left" vertical="center" wrapText="1"/>
    </xf>
    <xf numFmtId="0" fontId="15" fillId="9" borderId="0" xfId="0" applyFont="1" applyFill="1"/>
    <xf numFmtId="0" fontId="16" fillId="0" borderId="0" xfId="0" applyFont="1" applyFill="1" applyAlignment="1">
      <alignment vertical="center"/>
    </xf>
    <xf numFmtId="0" fontId="19" fillId="0" borderId="0" xfId="0" applyFont="1" applyFill="1"/>
    <xf numFmtId="0" fontId="20" fillId="0" borderId="0" xfId="0" applyFont="1" applyFill="1" applyAlignment="1">
      <alignment horizontal="left" vertical="center" indent="2"/>
    </xf>
    <xf numFmtId="49" fontId="20" fillId="0" borderId="0" xfId="0" applyNumberFormat="1" applyFont="1" applyFill="1" applyAlignment="1">
      <alignment horizontal="left" vertical="center" indent="2"/>
    </xf>
    <xf numFmtId="0" fontId="22" fillId="0" borderId="0" xfId="0" applyFont="1" applyFill="1" applyAlignment="1">
      <alignment horizontal="left" vertical="center" indent="2"/>
    </xf>
    <xf numFmtId="0" fontId="15" fillId="0" borderId="0" xfId="0" applyFont="1" applyFill="1" applyAlignment="1">
      <alignment horizontal="left" vertical="center" indent="2"/>
    </xf>
    <xf numFmtId="164" fontId="5" fillId="4" borderId="1" xfId="1" applyNumberFormat="1" applyFont="1" applyFill="1" applyBorder="1" applyAlignment="1">
      <alignment horizontal="center" vertical="center"/>
    </xf>
    <xf numFmtId="164" fontId="5" fillId="5" borderId="1" xfId="1" applyNumberFormat="1" applyFont="1" applyFill="1" applyBorder="1" applyAlignment="1">
      <alignment horizontal="center" vertical="center"/>
    </xf>
    <xf numFmtId="0" fontId="15" fillId="9" borderId="0" xfId="0" applyFont="1" applyFill="1" applyAlignment="1">
      <alignment vertical="center"/>
    </xf>
    <xf numFmtId="15" fontId="25" fillId="9" borderId="0" xfId="0" applyNumberFormat="1" applyFont="1" applyFill="1"/>
    <xf numFmtId="0" fontId="0" fillId="9" borderId="0" xfId="0" applyFont="1" applyFill="1"/>
    <xf numFmtId="0" fontId="26" fillId="9" borderId="0" xfId="0" applyFont="1" applyFill="1" applyAlignment="1">
      <alignment horizontal="left" wrapText="1"/>
    </xf>
    <xf numFmtId="15" fontId="25" fillId="9" borderId="0" xfId="0" applyNumberFormat="1" applyFont="1" applyFill="1" applyAlignment="1">
      <alignment vertical="center"/>
    </xf>
    <xf numFmtId="0" fontId="19" fillId="9" borderId="0" xfId="0" applyFont="1" applyFill="1"/>
    <xf numFmtId="15" fontId="16" fillId="9" borderId="0" xfId="0" applyNumberFormat="1" applyFont="1" applyFill="1"/>
    <xf numFmtId="0" fontId="4" fillId="6" borderId="16" xfId="0" applyNumberFormat="1" applyFont="1" applyFill="1" applyBorder="1" applyAlignment="1">
      <alignment horizontal="left" vertical="center" wrapText="1"/>
    </xf>
    <xf numFmtId="1" fontId="5" fillId="8" borderId="16" xfId="0" applyNumberFormat="1" applyFont="1" applyFill="1" applyBorder="1" applyAlignment="1">
      <alignment horizontal="center" vertical="center"/>
    </xf>
    <xf numFmtId="0" fontId="35" fillId="9" borderId="0" xfId="0" applyFont="1" applyFill="1"/>
    <xf numFmtId="1" fontId="5" fillId="4" borderId="1" xfId="0"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32" fillId="3" borderId="1" xfId="0" applyFont="1" applyFill="1" applyBorder="1" applyAlignment="1">
      <alignment horizontal="left" vertical="center" wrapText="1"/>
    </xf>
    <xf numFmtId="1" fontId="3" fillId="4" borderId="1" xfId="0" applyNumberFormat="1" applyFont="1" applyFill="1" applyBorder="1" applyAlignment="1">
      <alignment horizontal="center" vertical="center"/>
    </xf>
    <xf numFmtId="0" fontId="36" fillId="2" borderId="1" xfId="0" applyFont="1" applyFill="1" applyBorder="1" applyAlignment="1">
      <alignment horizontal="center" vertical="center" wrapText="1"/>
    </xf>
    <xf numFmtId="0" fontId="2" fillId="9" borderId="1" xfId="0" applyFont="1" applyFill="1" applyBorder="1" applyAlignment="1">
      <alignment horizontal="left"/>
    </xf>
    <xf numFmtId="1" fontId="0" fillId="9" borderId="0" xfId="0" applyNumberFormat="1" applyFill="1"/>
    <xf numFmtId="0" fontId="1" fillId="9" borderId="0" xfId="0" applyFont="1" applyFill="1"/>
    <xf numFmtId="0" fontId="4" fillId="3" borderId="5" xfId="0" applyFont="1" applyFill="1" applyBorder="1" applyAlignment="1">
      <alignment horizontal="left" vertical="center" wrapText="1"/>
    </xf>
    <xf numFmtId="1" fontId="5" fillId="5" borderId="6" xfId="0" applyNumberFormat="1" applyFont="1" applyFill="1" applyBorder="1" applyAlignment="1">
      <alignment horizontal="center" vertical="center"/>
    </xf>
    <xf numFmtId="0" fontId="36" fillId="2" borderId="7" xfId="0" applyFont="1" applyFill="1" applyBorder="1" applyAlignment="1">
      <alignment horizontal="center" vertical="center" wrapText="1"/>
    </xf>
    <xf numFmtId="0" fontId="36" fillId="2" borderId="8" xfId="0" applyFont="1" applyFill="1" applyBorder="1" applyAlignment="1">
      <alignment horizontal="center" vertical="center" wrapText="1"/>
    </xf>
    <xf numFmtId="0" fontId="36" fillId="2" borderId="9" xfId="0" applyFont="1" applyFill="1" applyBorder="1" applyAlignment="1">
      <alignment horizontal="center" vertical="center" wrapText="1"/>
    </xf>
    <xf numFmtId="0" fontId="4" fillId="3" borderId="17" xfId="0" applyFont="1" applyFill="1" applyBorder="1" applyAlignment="1">
      <alignment horizontal="left" vertical="center" wrapText="1"/>
    </xf>
    <xf numFmtId="1" fontId="5" fillId="4" borderId="16" xfId="0" applyNumberFormat="1" applyFont="1" applyFill="1" applyBorder="1" applyAlignment="1">
      <alignment horizontal="center" vertical="center"/>
    </xf>
    <xf numFmtId="1" fontId="5" fillId="5" borderId="16" xfId="0" applyNumberFormat="1" applyFont="1" applyFill="1" applyBorder="1" applyAlignment="1">
      <alignment horizontal="center" vertical="center"/>
    </xf>
    <xf numFmtId="1" fontId="5" fillId="5" borderId="18" xfId="0" applyNumberFormat="1" applyFont="1" applyFill="1" applyBorder="1" applyAlignment="1">
      <alignment horizontal="center" vertical="center"/>
    </xf>
    <xf numFmtId="0" fontId="0" fillId="9" borderId="0" xfId="0" applyFill="1"/>
    <xf numFmtId="1" fontId="5" fillId="7" borderId="1" xfId="0" applyNumberFormat="1" applyFont="1" applyFill="1" applyBorder="1" applyAlignment="1">
      <alignment horizontal="center" vertical="center"/>
    </xf>
    <xf numFmtId="1" fontId="5" fillId="7" borderId="8" xfId="0" applyNumberFormat="1" applyFont="1" applyFill="1" applyBorder="1" applyAlignment="1">
      <alignment horizontal="center" vertical="center"/>
    </xf>
    <xf numFmtId="1" fontId="5" fillId="7" borderId="16" xfId="0" applyNumberFormat="1" applyFont="1" applyFill="1" applyBorder="1" applyAlignment="1">
      <alignment horizontal="center" vertical="center"/>
    </xf>
    <xf numFmtId="0" fontId="4" fillId="6" borderId="5" xfId="0" applyNumberFormat="1" applyFont="1" applyFill="1" applyBorder="1" applyAlignment="1">
      <alignment horizontal="left" vertical="center" wrapText="1"/>
    </xf>
    <xf numFmtId="0" fontId="4" fillId="6" borderId="7" xfId="0" applyNumberFormat="1" applyFont="1" applyFill="1" applyBorder="1" applyAlignment="1">
      <alignment horizontal="left" vertical="center" wrapText="1"/>
    </xf>
    <xf numFmtId="0" fontId="4" fillId="6" borderId="17" xfId="0" applyNumberFormat="1" applyFont="1" applyFill="1" applyBorder="1" applyAlignment="1">
      <alignment horizontal="left" vertical="center" wrapText="1"/>
    </xf>
    <xf numFmtId="1" fontId="5" fillId="8" borderId="6" xfId="0" applyNumberFormat="1" applyFont="1" applyFill="1" applyBorder="1" applyAlignment="1">
      <alignment horizontal="center" vertical="center"/>
    </xf>
    <xf numFmtId="1" fontId="5" fillId="8" borderId="9" xfId="0" applyNumberFormat="1" applyFont="1" applyFill="1" applyBorder="1" applyAlignment="1">
      <alignment horizontal="center" vertical="center"/>
    </xf>
    <xf numFmtId="1" fontId="5" fillId="8" borderId="18" xfId="0" applyNumberFormat="1" applyFont="1" applyFill="1" applyBorder="1" applyAlignment="1">
      <alignment horizontal="center" vertical="center"/>
    </xf>
    <xf numFmtId="0" fontId="15" fillId="9" borderId="0" xfId="0" applyFont="1" applyFill="1" applyAlignment="1">
      <alignment horizontal="left" vertical="center" wrapText="1"/>
    </xf>
    <xf numFmtId="0" fontId="0" fillId="0" borderId="0" xfId="0"/>
    <xf numFmtId="0" fontId="0" fillId="0" borderId="0" xfId="0"/>
    <xf numFmtId="0" fontId="14" fillId="9" borderId="0" xfId="0" applyFont="1" applyFill="1" applyAlignment="1">
      <alignment horizontal="left" vertical="center"/>
    </xf>
    <xf numFmtId="0" fontId="19" fillId="9" borderId="0" xfId="0" applyFont="1" applyFill="1"/>
    <xf numFmtId="15" fontId="16" fillId="9" borderId="0" xfId="0" applyNumberFormat="1" applyFont="1" applyFill="1"/>
    <xf numFmtId="0" fontId="4" fillId="6" borderId="7" xfId="0" applyNumberFormat="1" applyFont="1" applyFill="1" applyBorder="1" applyAlignment="1">
      <alignment vertical="center"/>
    </xf>
    <xf numFmtId="0" fontId="5" fillId="7" borderId="8" xfId="0" applyNumberFormat="1" applyFont="1" applyFill="1" applyBorder="1" applyAlignment="1">
      <alignment vertical="center" wrapText="1"/>
    </xf>
    <xf numFmtId="0" fontId="5" fillId="8" borderId="8" xfId="0" quotePrefix="1" applyNumberFormat="1" applyFont="1" applyFill="1" applyBorder="1" applyAlignment="1">
      <alignment vertical="center"/>
    </xf>
    <xf numFmtId="0" fontId="5" fillId="7" borderId="8" xfId="0" applyNumberFormat="1" applyFont="1" applyFill="1" applyBorder="1" applyAlignment="1">
      <alignment vertical="center"/>
    </xf>
    <xf numFmtId="0" fontId="4" fillId="6" borderId="5" xfId="0" applyNumberFormat="1" applyFont="1" applyFill="1" applyBorder="1" applyAlignment="1">
      <alignment vertical="center"/>
    </xf>
    <xf numFmtId="0" fontId="5" fillId="7" borderId="1" xfId="0" applyNumberFormat="1" applyFont="1" applyFill="1" applyBorder="1" applyAlignment="1">
      <alignment vertical="center" wrapText="1"/>
    </xf>
    <xf numFmtId="0" fontId="5" fillId="8" borderId="1" xfId="0" quotePrefix="1" applyNumberFormat="1" applyFont="1" applyFill="1" applyBorder="1" applyAlignment="1">
      <alignment vertical="center"/>
    </xf>
    <xf numFmtId="0" fontId="5" fillId="7" borderId="1" xfId="0" applyNumberFormat="1" applyFont="1" applyFill="1" applyBorder="1" applyAlignment="1">
      <alignment vertical="center"/>
    </xf>
    <xf numFmtId="0" fontId="5" fillId="8" borderId="1" xfId="0" applyNumberFormat="1" applyFont="1" applyFill="1" applyBorder="1" applyAlignment="1">
      <alignment vertical="center"/>
    </xf>
    <xf numFmtId="0" fontId="0" fillId="9" borderId="0" xfId="0" applyFill="1"/>
    <xf numFmtId="0" fontId="31" fillId="2" borderId="1" xfId="0" applyFont="1" applyFill="1" applyBorder="1" applyAlignment="1">
      <alignment horizontal="center" vertical="center" wrapText="1"/>
    </xf>
    <xf numFmtId="0" fontId="35" fillId="9" borderId="0" xfId="0" applyFont="1" applyFill="1" applyAlignment="1">
      <alignment horizontal="left" vertical="top"/>
    </xf>
    <xf numFmtId="0" fontId="0" fillId="9" borderId="0" xfId="0" applyFill="1" applyAlignment="1">
      <alignment horizontal="left" vertical="top"/>
    </xf>
    <xf numFmtId="165" fontId="5" fillId="7" borderId="8" xfId="1" applyNumberFormat="1" applyFont="1" applyFill="1" applyBorder="1" applyAlignment="1">
      <alignment horizontal="center" vertical="center"/>
    </xf>
    <xf numFmtId="165" fontId="5" fillId="8" borderId="8" xfId="1" applyNumberFormat="1" applyFont="1" applyFill="1" applyBorder="1" applyAlignment="1">
      <alignment horizontal="center" vertical="center"/>
    </xf>
    <xf numFmtId="165" fontId="5" fillId="7" borderId="1" xfId="1" applyNumberFormat="1" applyFont="1" applyFill="1" applyBorder="1" applyAlignment="1">
      <alignment horizontal="center" vertical="center"/>
    </xf>
    <xf numFmtId="165" fontId="5" fillId="8" borderId="1" xfId="1" applyNumberFormat="1" applyFont="1" applyFill="1" applyBorder="1" applyAlignment="1">
      <alignment horizontal="center" vertical="center"/>
    </xf>
    <xf numFmtId="165" fontId="5" fillId="7" borderId="16" xfId="1" applyNumberFormat="1" applyFont="1" applyFill="1" applyBorder="1" applyAlignment="1">
      <alignment horizontal="center" vertical="center"/>
    </xf>
    <xf numFmtId="165" fontId="5" fillId="8" borderId="16" xfId="1" applyNumberFormat="1" applyFont="1" applyFill="1" applyBorder="1" applyAlignment="1">
      <alignment horizontal="center" vertical="center"/>
    </xf>
    <xf numFmtId="165" fontId="0" fillId="9" borderId="0" xfId="1" applyNumberFormat="1" applyFont="1" applyFill="1"/>
    <xf numFmtId="165" fontId="3" fillId="4" borderId="1" xfId="1" applyNumberFormat="1" applyFont="1" applyFill="1" applyBorder="1" applyAlignment="1">
      <alignment horizontal="center" vertical="center"/>
    </xf>
    <xf numFmtId="165" fontId="5" fillId="4" borderId="1" xfId="1" applyNumberFormat="1" applyFont="1" applyFill="1" applyBorder="1" applyAlignment="1">
      <alignment horizontal="center" vertical="center"/>
    </xf>
    <xf numFmtId="165" fontId="5" fillId="5" borderId="1" xfId="1" applyNumberFormat="1" applyFont="1" applyFill="1" applyBorder="1" applyAlignment="1">
      <alignment horizontal="center" vertical="center"/>
    </xf>
    <xf numFmtId="165" fontId="5" fillId="4" borderId="16" xfId="1" applyNumberFormat="1" applyFont="1" applyFill="1" applyBorder="1" applyAlignment="1">
      <alignment horizontal="center" vertical="center"/>
    </xf>
    <xf numFmtId="165" fontId="5" fillId="5" borderId="16" xfId="1" applyNumberFormat="1" applyFont="1" applyFill="1" applyBorder="1" applyAlignment="1">
      <alignment horizontal="center" vertical="center"/>
    </xf>
    <xf numFmtId="0" fontId="4" fillId="6" borderId="17" xfId="0" applyNumberFormat="1" applyFont="1" applyFill="1" applyBorder="1" applyAlignment="1">
      <alignment vertical="center"/>
    </xf>
    <xf numFmtId="0" fontId="5" fillId="7" borderId="16" xfId="0" applyNumberFormat="1" applyFont="1" applyFill="1" applyBorder="1" applyAlignment="1">
      <alignment vertical="center" wrapText="1"/>
    </xf>
    <xf numFmtId="0" fontId="5" fillId="8" borderId="16" xfId="0" applyNumberFormat="1" applyFont="1" applyFill="1" applyBorder="1" applyAlignment="1">
      <alignment vertical="center"/>
    </xf>
    <xf numFmtId="0" fontId="5" fillId="7" borderId="16" xfId="0" applyNumberFormat="1" applyFont="1" applyFill="1" applyBorder="1" applyAlignment="1">
      <alignment vertical="center"/>
    </xf>
    <xf numFmtId="0" fontId="5" fillId="7" borderId="19" xfId="0" applyNumberFormat="1" applyFont="1" applyFill="1" applyBorder="1" applyAlignment="1">
      <alignment vertical="center"/>
    </xf>
    <xf numFmtId="0" fontId="5" fillId="8" borderId="19" xfId="0" applyNumberFormat="1" applyFont="1" applyFill="1" applyBorder="1" applyAlignment="1">
      <alignment horizontal="center" vertical="center"/>
    </xf>
    <xf numFmtId="0" fontId="5" fillId="7" borderId="19"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1" fontId="3" fillId="5" borderId="1" xfId="0" applyNumberFormat="1" applyFont="1" applyFill="1" applyBorder="1" applyAlignment="1">
      <alignment horizontal="center" vertical="center"/>
    </xf>
    <xf numFmtId="0" fontId="2" fillId="9" borderId="0" xfId="4" applyFont="1" applyFill="1" applyAlignment="1">
      <alignment horizontal="left" vertical="center"/>
    </xf>
    <xf numFmtId="0" fontId="9" fillId="9" borderId="0" xfId="4" applyFill="1"/>
    <xf numFmtId="0" fontId="15" fillId="9" borderId="0" xfId="4" applyFont="1" applyFill="1" applyAlignment="1">
      <alignment vertical="top" wrapText="1"/>
    </xf>
    <xf numFmtId="0" fontId="14" fillId="9" borderId="0" xfId="4" applyFont="1" applyFill="1" applyAlignment="1">
      <alignment vertical="center"/>
    </xf>
    <xf numFmtId="0" fontId="26" fillId="9" borderId="0" xfId="4" applyFont="1" applyFill="1" applyAlignment="1">
      <alignment vertical="center"/>
    </xf>
    <xf numFmtId="0" fontId="27" fillId="9" borderId="0" xfId="4" applyFont="1" applyFill="1" applyAlignment="1">
      <alignment horizontal="left" vertical="center" indent="2"/>
    </xf>
    <xf numFmtId="0" fontId="30" fillId="9" borderId="0" xfId="4" applyFont="1" applyFill="1" applyAlignment="1">
      <alignment vertical="center"/>
    </xf>
    <xf numFmtId="0" fontId="31" fillId="11" borderId="15" xfId="4" applyFont="1" applyFill="1" applyBorder="1" applyAlignment="1">
      <alignment horizontal="left" vertical="center"/>
    </xf>
    <xf numFmtId="0" fontId="31" fillId="11" borderId="14" xfId="4" applyFont="1" applyFill="1" applyBorder="1" applyAlignment="1">
      <alignment horizontal="left" vertical="center"/>
    </xf>
    <xf numFmtId="0" fontId="32" fillId="6" borderId="7" xfId="4" applyFont="1" applyFill="1" applyBorder="1" applyAlignment="1">
      <alignment vertical="center" wrapText="1"/>
    </xf>
    <xf numFmtId="0" fontId="33" fillId="9" borderId="14" xfId="4" applyFont="1" applyFill="1" applyBorder="1" applyAlignment="1">
      <alignment horizontal="center" vertical="center" wrapText="1"/>
    </xf>
    <xf numFmtId="0" fontId="34" fillId="9" borderId="0" xfId="4" applyFont="1" applyFill="1" applyAlignment="1">
      <alignment horizontal="justify" vertical="center"/>
    </xf>
    <xf numFmtId="0" fontId="2" fillId="9" borderId="0" xfId="4" applyFont="1" applyFill="1" applyAlignment="1">
      <alignment vertical="center"/>
    </xf>
    <xf numFmtId="0" fontId="9" fillId="9" borderId="0" xfId="4" applyFill="1" applyAlignment="1"/>
    <xf numFmtId="0" fontId="26" fillId="9" borderId="0" xfId="4" applyFont="1" applyFill="1" applyAlignment="1">
      <alignment horizontal="left" vertical="center" indent="2"/>
    </xf>
    <xf numFmtId="0" fontId="30" fillId="9" borderId="0" xfId="4" applyFont="1" applyFill="1" applyAlignment="1">
      <alignment horizontal="left" vertical="center"/>
    </xf>
    <xf numFmtId="0" fontId="10" fillId="9" borderId="7" xfId="4" applyFont="1" applyFill="1" applyBorder="1" applyAlignment="1">
      <alignment vertical="center"/>
    </xf>
    <xf numFmtId="0" fontId="31" fillId="2" borderId="1" xfId="0" applyFont="1" applyFill="1" applyBorder="1" applyAlignment="1">
      <alignment horizontal="center" vertical="center"/>
    </xf>
    <xf numFmtId="0" fontId="0" fillId="0" borderId="0" xfId="0"/>
    <xf numFmtId="0" fontId="0" fillId="0" borderId="0" xfId="0" applyAlignment="1">
      <alignment vertical="center"/>
    </xf>
    <xf numFmtId="0" fontId="0" fillId="0" borderId="0" xfId="0"/>
    <xf numFmtId="0" fontId="0" fillId="0" borderId="0" xfId="0"/>
    <xf numFmtId="0" fontId="15" fillId="0" borderId="0" xfId="0" applyFont="1" applyFill="1" applyAlignment="1">
      <alignment vertical="center" wrapText="1"/>
    </xf>
    <xf numFmtId="2" fontId="0" fillId="9" borderId="0" xfId="0" applyNumberFormat="1" applyFill="1"/>
    <xf numFmtId="0" fontId="15" fillId="9" borderId="0" xfId="0" applyFont="1" applyFill="1" applyAlignment="1">
      <alignment horizontal="left" vertical="center" wrapText="1"/>
    </xf>
    <xf numFmtId="0" fontId="0" fillId="0" borderId="0" xfId="0"/>
    <xf numFmtId="0" fontId="3" fillId="4" borderId="0" xfId="0" applyFont="1" applyFill="1" applyBorder="1" applyAlignment="1">
      <alignment horizontal="center" vertical="center" wrapText="1"/>
    </xf>
    <xf numFmtId="0" fontId="37" fillId="0" borderId="0" xfId="0" applyFont="1" applyAlignment="1">
      <alignment horizontal="left" vertical="top" wrapText="1"/>
    </xf>
    <xf numFmtId="0" fontId="5" fillId="0" borderId="0" xfId="0" applyFont="1" applyAlignment="1">
      <alignment wrapText="1"/>
    </xf>
    <xf numFmtId="0" fontId="0" fillId="0" borderId="0" xfId="0"/>
    <xf numFmtId="0" fontId="16" fillId="0" borderId="0" xfId="0" applyFont="1" applyFill="1" applyAlignment="1">
      <alignment horizontal="left" vertical="center" wrapText="1"/>
    </xf>
    <xf numFmtId="0" fontId="12" fillId="0" borderId="11" xfId="2" applyFont="1" applyBorder="1" applyAlignment="1">
      <alignment horizontal="left" vertical="top" wrapText="1"/>
    </xf>
    <xf numFmtId="0" fontId="12" fillId="0" borderId="12" xfId="2" applyFont="1" applyBorder="1" applyAlignment="1">
      <alignment horizontal="left" vertical="top" wrapText="1"/>
    </xf>
    <xf numFmtId="0" fontId="12" fillId="0" borderId="13" xfId="2" applyFont="1" applyBorder="1" applyAlignment="1">
      <alignment horizontal="left" vertical="top" wrapText="1"/>
    </xf>
    <xf numFmtId="0" fontId="14" fillId="10" borderId="0" xfId="0" applyFont="1" applyFill="1" applyAlignment="1">
      <alignment horizontal="left" vertical="center"/>
    </xf>
    <xf numFmtId="0" fontId="15" fillId="9" borderId="0" xfId="3" applyFont="1" applyFill="1" applyAlignment="1">
      <alignment horizontal="left" vertical="center" wrapText="1"/>
    </xf>
    <xf numFmtId="0" fontId="15" fillId="9" borderId="0" xfId="0" applyFont="1" applyFill="1" applyAlignment="1">
      <alignment horizontal="left" vertical="center" wrapText="1"/>
    </xf>
    <xf numFmtId="0" fontId="16" fillId="0" borderId="0" xfId="0" applyFont="1" applyFill="1" applyAlignment="1">
      <alignment vertical="center"/>
    </xf>
    <xf numFmtId="0" fontId="16" fillId="9" borderId="0" xfId="0" applyFont="1" applyFill="1" applyAlignment="1">
      <alignment horizontal="left" vertical="center" wrapText="1"/>
    </xf>
    <xf numFmtId="0" fontId="16" fillId="9" borderId="0" xfId="0" applyFont="1" applyFill="1" applyAlignment="1">
      <alignment horizontal="left" vertical="top" wrapText="1"/>
    </xf>
    <xf numFmtId="0" fontId="15" fillId="0" borderId="0" xfId="0" applyFont="1" applyFill="1" applyAlignment="1">
      <alignment horizontal="left" vertical="center" wrapText="1"/>
    </xf>
    <xf numFmtId="0" fontId="16" fillId="0" borderId="0" xfId="0" applyFont="1" applyFill="1" applyAlignment="1">
      <alignment vertical="center" wrapText="1"/>
    </xf>
    <xf numFmtId="0" fontId="16" fillId="9" borderId="0" xfId="3" applyFont="1" applyFill="1" applyAlignment="1">
      <alignment horizontal="left" vertical="center" wrapText="1"/>
    </xf>
    <xf numFmtId="0" fontId="15" fillId="9" borderId="0" xfId="0" applyFont="1" applyFill="1" applyAlignment="1">
      <alignment vertical="center" wrapText="1"/>
    </xf>
    <xf numFmtId="0" fontId="26" fillId="9" borderId="0" xfId="0" applyFont="1" applyFill="1" applyAlignment="1">
      <alignment horizontal="left" vertical="center" wrapText="1"/>
    </xf>
    <xf numFmtId="0" fontId="15" fillId="9" borderId="0" xfId="0" applyFont="1" applyFill="1" applyAlignment="1">
      <alignment vertical="center"/>
    </xf>
    <xf numFmtId="0" fontId="16" fillId="9" borderId="0" xfId="0" applyFont="1" applyFill="1" applyAlignment="1">
      <alignment vertical="center" wrapText="1"/>
    </xf>
    <xf numFmtId="0" fontId="26" fillId="9" borderId="0" xfId="0" applyFont="1" applyFill="1" applyAlignment="1">
      <alignment horizontal="left" wrapText="1"/>
    </xf>
    <xf numFmtId="0" fontId="33" fillId="0" borderId="0" xfId="0" applyFont="1" applyAlignment="1">
      <alignment horizontal="left" vertical="top" wrapText="1"/>
    </xf>
    <xf numFmtId="0" fontId="35" fillId="0" borderId="0" xfId="0" applyFont="1" applyAlignment="1">
      <alignment horizontal="left" vertical="top" wrapText="1"/>
    </xf>
    <xf numFmtId="0" fontId="6" fillId="9" borderId="0" xfId="0" applyFont="1" applyFill="1" applyAlignment="1">
      <alignment horizontal="left" vertical="top" wrapText="1"/>
    </xf>
    <xf numFmtId="0" fontId="0" fillId="9" borderId="0" xfId="0" applyFill="1" applyAlignment="1">
      <alignment horizontal="left" vertical="top"/>
    </xf>
    <xf numFmtId="0" fontId="35" fillId="9" borderId="0" xfId="0" applyFont="1" applyFill="1" applyAlignment="1">
      <alignment horizontal="left" vertical="top" wrapText="1"/>
    </xf>
    <xf numFmtId="0" fontId="35" fillId="9" borderId="0" xfId="0" applyFont="1" applyFill="1" applyAlignment="1">
      <alignment horizontal="left" wrapText="1"/>
    </xf>
    <xf numFmtId="0" fontId="33" fillId="0" borderId="0" xfId="0" applyFont="1" applyAlignment="1">
      <alignment wrapText="1"/>
    </xf>
    <xf numFmtId="0" fontId="35" fillId="0" borderId="0" xfId="0" applyFont="1"/>
    <xf numFmtId="0" fontId="33" fillId="9" borderId="14" xfId="4" applyFont="1" applyFill="1" applyBorder="1" applyAlignment="1">
      <alignment horizontal="left" vertical="center" wrapText="1"/>
    </xf>
    <xf numFmtId="0" fontId="33" fillId="9" borderId="0" xfId="4" applyFont="1" applyFill="1" applyBorder="1" applyAlignment="1">
      <alignment horizontal="left" vertical="center" wrapText="1"/>
    </xf>
    <xf numFmtId="0" fontId="33" fillId="9" borderId="0" xfId="4" applyFont="1" applyFill="1" applyAlignment="1">
      <alignment horizontal="left" vertical="center" wrapText="1"/>
    </xf>
    <xf numFmtId="0" fontId="31" fillId="11" borderId="14" xfId="4" applyFont="1" applyFill="1" applyBorder="1" applyAlignment="1">
      <alignment horizontal="left" vertical="center"/>
    </xf>
    <xf numFmtId="0" fontId="31" fillId="11" borderId="0" xfId="4" applyFont="1" applyFill="1" applyBorder="1" applyAlignment="1">
      <alignment horizontal="left" vertical="center"/>
    </xf>
    <xf numFmtId="0" fontId="26" fillId="9" borderId="0" xfId="4" applyFont="1" applyFill="1" applyAlignment="1">
      <alignment horizontal="left" vertical="center" wrapText="1"/>
    </xf>
    <xf numFmtId="0" fontId="29" fillId="9" borderId="0" xfId="4" applyFont="1" applyFill="1" applyAlignment="1">
      <alignment horizontal="left" vertical="center" wrapText="1" indent="2"/>
    </xf>
    <xf numFmtId="0" fontId="26" fillId="9" borderId="0" xfId="4" applyFont="1" applyFill="1" applyAlignment="1">
      <alignment horizontal="left" vertical="center" wrapText="1" indent="2"/>
    </xf>
    <xf numFmtId="0" fontId="27" fillId="9" borderId="0" xfId="4" applyFont="1" applyFill="1" applyAlignment="1">
      <alignment horizontal="left" vertical="center" wrapText="1"/>
    </xf>
    <xf numFmtId="0" fontId="15" fillId="9" borderId="0" xfId="4" applyFont="1" applyFill="1" applyAlignment="1">
      <alignment horizontal="left" vertical="center" wrapText="1"/>
    </xf>
    <xf numFmtId="0" fontId="15" fillId="9" borderId="0" xfId="4" applyFont="1" applyFill="1" applyAlignment="1">
      <alignment vertical="top" wrapText="1"/>
    </xf>
  </cellXfs>
  <cellStyles count="6">
    <cellStyle name="Comma" xfId="1" builtinId="3"/>
    <cellStyle name="Comma 2" xfId="5" xr:uid="{00000000-0005-0000-0000-000001000000}"/>
    <cellStyle name="Hyperlink" xfId="2" builtinId="8"/>
    <cellStyle name="Normal" xfId="0" builtinId="0"/>
    <cellStyle name="Normal 2" xfId="4" xr:uid="{00000000-0005-0000-0000-000004000000}"/>
    <cellStyle name="Normal 4" xfId="3" xr:uid="{00000000-0005-0000-0000-000005000000}"/>
  </cellStyles>
  <dxfs count="148">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theme="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colors>
    <mruColors>
      <color rgb="FFFFFFCC"/>
      <color rgb="FFF47321"/>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'Tasmania Summary'!$B$86</c:f>
              <c:strCache>
                <c:ptCount val="1"/>
                <c:pt idx="0">
                  <c:v>Existing less Announced Withdrawal</c:v>
                </c:pt>
              </c:strCache>
            </c:strRef>
          </c:tx>
          <c:spPr>
            <a:solidFill>
              <a:schemeClr val="accent6">
                <a:lumMod val="75000"/>
              </a:schemeClr>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Summary'!$C$86:$L$86</c:f>
              <c:numCache>
                <c:formatCode>_-* #,##0_-;\-* #,##0_-;_-* "-"??_-;_-@_-</c:formatCode>
                <c:ptCount val="10"/>
                <c:pt idx="0">
                  <c:v>0</c:v>
                </c:pt>
                <c:pt idx="1">
                  <c:v>0</c:v>
                </c:pt>
                <c:pt idx="2">
                  <c:v>178</c:v>
                </c:pt>
                <c:pt idx="3">
                  <c:v>0</c:v>
                </c:pt>
                <c:pt idx="4">
                  <c:v>0.2646</c:v>
                </c:pt>
                <c:pt idx="5">
                  <c:v>308</c:v>
                </c:pt>
                <c:pt idx="6">
                  <c:v>2286.8000000000002</c:v>
                </c:pt>
                <c:pt idx="7">
                  <c:v>4.9359999999999999</c:v>
                </c:pt>
                <c:pt idx="8">
                  <c:v>0</c:v>
                </c:pt>
                <c:pt idx="9">
                  <c:v>0</c:v>
                </c:pt>
              </c:numCache>
            </c:numRef>
          </c:val>
          <c:extLst>
            <c:ext xmlns:c16="http://schemas.microsoft.com/office/drawing/2014/chart" uri="{C3380CC4-5D6E-409C-BE32-E72D297353CC}">
              <c16:uniqueId val="{00000001-A3D1-482D-B116-277E85E54BB3}"/>
            </c:ext>
          </c:extLst>
        </c:ser>
        <c:ser>
          <c:idx val="0"/>
          <c:order val="1"/>
          <c:tx>
            <c:strRef>
              <c:f>'Tasmania Summary'!$B$85</c:f>
              <c:strCache>
                <c:ptCount val="1"/>
                <c:pt idx="0">
                  <c:v>Announced Withdrawal</c:v>
                </c:pt>
              </c:strCache>
            </c:strRef>
          </c:tx>
          <c:spPr>
            <a:solidFill>
              <a:srgbClr val="FFC000"/>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Summary'!$C$85:$L$85</c:f>
              <c:numCache>
                <c:formatCode>_-* #,##0_-;\-* #,##0_-;_-* "-"??_-;_-@_-</c:formatCode>
                <c:ptCount val="10"/>
                <c:pt idx="0">
                  <c:v>0</c:v>
                </c:pt>
                <c:pt idx="1">
                  <c:v>208</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'Tasmania Summary'!$B$87</c:f>
              <c:strCache>
                <c:ptCount val="1"/>
                <c:pt idx="0">
                  <c:v>Committed</c:v>
                </c:pt>
              </c:strCache>
            </c:strRef>
          </c:tx>
          <c:spPr>
            <a:solidFill>
              <a:schemeClr val="tx2"/>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Summary'!$C$87:$L$87</c:f>
              <c:numCache>
                <c:formatCode>_-* #,##0_-;\-* #,##0_-;_-* "-"??_-;_-@_-</c:formatCode>
                <c:ptCount val="10"/>
                <c:pt idx="0">
                  <c:v>0</c:v>
                </c:pt>
                <c:pt idx="1">
                  <c:v>0</c:v>
                </c:pt>
                <c:pt idx="2">
                  <c:v>0</c:v>
                </c:pt>
                <c:pt idx="3">
                  <c:v>0</c:v>
                </c:pt>
                <c:pt idx="4">
                  <c:v>0</c:v>
                </c:pt>
                <c:pt idx="5">
                  <c:v>255.6</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'Tasmania Summary'!$B$88</c:f>
              <c:strCache>
                <c:ptCount val="1"/>
                <c:pt idx="0">
                  <c:v>Proposed</c:v>
                </c:pt>
              </c:strCache>
            </c:strRef>
          </c:tx>
          <c:spPr>
            <a:solidFill>
              <a:schemeClr val="accent1">
                <a:lumMod val="40000"/>
                <a:lumOff val="60000"/>
              </a:schemeClr>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Summary'!$C$88:$L$88</c:f>
              <c:numCache>
                <c:formatCode>_-* #,##0_-;\-* #,##0_-;_-* "-"??_-;_-@_-</c:formatCode>
                <c:ptCount val="10"/>
                <c:pt idx="0">
                  <c:v>0</c:v>
                </c:pt>
                <c:pt idx="1">
                  <c:v>0</c:v>
                </c:pt>
                <c:pt idx="2">
                  <c:v>0</c:v>
                </c:pt>
                <c:pt idx="3">
                  <c:v>0</c:v>
                </c:pt>
                <c:pt idx="4">
                  <c:v>17.5</c:v>
                </c:pt>
                <c:pt idx="5">
                  <c:v>1102</c:v>
                </c:pt>
                <c:pt idx="6">
                  <c:v>2310</c:v>
                </c:pt>
                <c:pt idx="7">
                  <c:v>0</c:v>
                </c:pt>
                <c:pt idx="8">
                  <c:v>0</c:v>
                </c:pt>
                <c:pt idx="9">
                  <c:v>0</c:v>
                </c:pt>
              </c:numCache>
            </c:numRef>
          </c:val>
          <c:extLst>
            <c:ext xmlns:c16="http://schemas.microsoft.com/office/drawing/2014/chart" uri="{C3380CC4-5D6E-409C-BE32-E72D297353CC}">
              <c16:uniqueId val="{00000003-A3D1-482D-B116-277E85E54BB3}"/>
            </c:ext>
          </c:extLst>
        </c:ser>
        <c:ser>
          <c:idx val="4"/>
          <c:order val="4"/>
          <c:tx>
            <c:strRef>
              <c:f>'Tasmania Summary'!$B$89</c:f>
              <c:strCache>
                <c:ptCount val="1"/>
                <c:pt idx="0">
                  <c:v>Withdrawn</c:v>
                </c:pt>
              </c:strCache>
            </c:strRef>
          </c:tx>
          <c:spPr>
            <a:solidFill>
              <a:schemeClr val="accent2"/>
            </a:solidFill>
            <a:ln>
              <a:noFill/>
            </a:ln>
            <a:effectLst/>
          </c:spPr>
          <c:invertIfNegative val="0"/>
          <c:cat>
            <c:strRef>
              <c:f>'Tasmania Summary'!$C$83:$L$83</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'Tasmania Summary'!$C$89:$L$89</c:f>
              <c:numCache>
                <c:formatCode>_-* #,##0_-;\-* #,##0_-;_-*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60</xdr:row>
      <xdr:rowOff>157161</xdr:rowOff>
    </xdr:from>
    <xdr:to>
      <xdr:col>12</xdr:col>
      <xdr:colOff>571499</xdr:colOff>
      <xdr:row>81</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2" xr16:uid="{00000000-0016-0000-0200-000000000000}" autoFormatId="16" applyNumberFormats="0" applyBorderFormats="0" applyFontFormats="0" applyPatternFormats="0" applyAlignmentFormats="0" applyWidthHeightFormats="0">
  <queryTableRefresh nextId="17">
    <queryTableFields count="12">
      <queryTableField id="1" name="Power Station" tableColumnId="1"/>
      <queryTableField id="2" name="Owner" tableColumnId="2"/>
      <queryTableField id="14" name="Unit Number and Nameplate Capacity (MW)" tableColumnId="3"/>
      <queryTableField id="12" name="Nameplate Capacity (MW)" tableColumnId="4"/>
      <queryTableField id="5" name="Technology Type" tableColumnId="5"/>
      <queryTableField id="6" name="Fuel Type" tableColumnId="6"/>
      <queryTableField id="7" name="Dispatch Type" tableColumnId="7"/>
      <queryTableField id="8" name="Service Status" tableColumnId="8"/>
      <queryTableField id="16" dataBound="0" tableColumnId="19"/>
      <queryTableField id="9" name="Region" tableColumnId="9"/>
      <queryTableField id="10" name="summary_status" tableColumnId="10"/>
      <queryTableField id="11" name="summary_bucket" tableColumnId="11"/>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5" xr16:uid="{00000000-0016-0000-0300-000001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2" connectionId="7" xr16:uid="{00000000-0016-0000-0300-000002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3" connectionId="6" xr16:uid="{00000000-0016-0000-0300-000003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819" tableColumnId="2"/>
      <queryTableField id="3" name="201920" tableColumnId="3"/>
      <queryTableField id="4" name="202021" tableColumnId="4"/>
      <queryTableField id="5" name="202122" tableColumnId="5"/>
      <queryTableField id="6" name="202223" tableColumnId="6"/>
      <queryTableField id="7" name="202324" tableColumnId="7"/>
      <queryTableField id="8" name="202425" tableColumnId="8"/>
      <queryTableField id="9" name="202526" tableColumnId="9"/>
      <queryTableField id="10" name="202627" tableColumnId="10"/>
      <queryTableField id="11" name="2027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8" xr16:uid="{00000000-0016-0000-0400-000004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2" connectionId="10" xr16:uid="{00000000-0016-0000-0400-000005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3" connectionId="9" xr16:uid="{00000000-0016-0000-0400-000006000000}" autoFormatId="16" applyNumberFormats="0" applyBorderFormats="0" applyFontFormats="0" applyPatternFormats="0" applyAlignmentFormats="0" applyWidthHeightFormats="0">
  <queryTableRefresh nextId="16">
    <queryTableFields count="15">
      <queryTableField id="1" name="PowerStation" tableColumnId="1"/>
      <queryTableField id="2" name="2019" tableColumnId="2"/>
      <queryTableField id="3" name="2020" tableColumnId="3"/>
      <queryTableField id="4" name="2021" tableColumnId="4"/>
      <queryTableField id="5" name="2022" tableColumnId="5"/>
      <queryTableField id="6" name="2023" tableColumnId="6"/>
      <queryTableField id="7" name="2024" tableColumnId="7"/>
      <queryTableField id="8" name="2025" tableColumnId="8"/>
      <queryTableField id="9" name="2026" tableColumnId="9"/>
      <queryTableField id="10" name="2027" tableColumnId="10"/>
      <queryTableField id="11" name="2028" tableColumnId="11"/>
      <queryTableField id="12" name="DispatchType" tableColumnId="12"/>
      <queryTableField id="13" name="FuelType" tableColumnId="13"/>
      <queryTableField id="14" name="Region" tableColumnId="14"/>
      <queryTableField id="15" name="Season" tableColumnId="15"/>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1" xr16:uid="{00000000-0016-0000-0500-000007000000}" autoFormatId="16" applyNumberFormats="0" applyBorderFormats="0" applyFontFormats="0" applyPatternFormats="0" applyAlignmentFormats="0" applyWidthHeightFormats="0">
  <queryTableRefresh nextId="12">
    <queryTableFields count="9">
      <queryTableField id="1" name="Power Station" tableColumnId="1"/>
      <queryTableField id="2" name="Owner" tableColumnId="2"/>
      <queryTableField id="3" name="Nameplate Capacity (MW)" tableColumnId="3"/>
      <queryTableField id="4" name="Technology Type" tableColumnId="4"/>
      <queryTableField id="5" name="Fuel Type" tableColumnId="5"/>
      <queryTableField id="10" name="Service Status" tableColumnId="6"/>
      <queryTableField id="7" name="Region" tableColumnId="7"/>
      <queryTableField id="8" name="summary_bucket" tableColumnId="8"/>
      <queryTableField id="9" name="summary_status" tableColumnId="9"/>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connectionId="4" xr16:uid="{00000000-0016-0000-0600-000008000000}" autoFormatId="16" applyNumberFormats="0" applyBorderFormats="0" applyFontFormats="0" applyPatternFormats="0" applyAlignmentFormats="0" applyWidthHeightFormats="0">
  <queryTableRefresh nextId="17">
    <queryTableFields count="15">
      <queryTableField id="1" name="Project" tableColumnId="1"/>
      <queryTableField id="2" name="Owner" tableColumnId="2"/>
      <queryTableField id="3" name="Unit ID" tableColumnId="3"/>
      <queryTableField id="4" name="Technology Type" tableColumnId="4"/>
      <queryTableField id="5" name="Fuel Type" tableColumnId="5"/>
      <queryTableField id="6" name="Unit Status" tableColumnId="6"/>
      <queryTableField id="7" name="Nameplate Capacity (MW)" tableColumnId="7"/>
      <queryTableField id="8" name="Dispatch Type" tableColumnId="8"/>
      <queryTableField id="9" name="Full Commercial Use Date" tableColumnId="9"/>
      <queryTableField id="15" name="Source" tableColumnId="15"/>
      <queryTableField id="10" name="summary_status" tableColumnId="10"/>
      <queryTableField id="11" name="nameplatecapacity_mw_max" tableColumnId="11"/>
      <queryTableField id="12" name="capacity_empty" tableColumnId="12"/>
      <queryTableField id="13" name="region" tableColumnId="13"/>
      <queryTableField id="14" name="summary_bucket" tableColumnId="1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23" tableType="queryTable" totalsRowShown="0" headerRowDxfId="147" headerRowBorderDxfId="146">
  <autoFilter ref="A2:L23" xr:uid="{C2E9E3E4-3895-4B1F-A3F3-1462ACB00379}"/>
  <tableColumns count="12">
    <tableColumn id="1" xr3:uid="{00000000-0010-0000-0000-000001000000}" uniqueName="1" name="Power Station" queryTableFieldId="1" dataDxfId="145"/>
    <tableColumn id="2" xr3:uid="{00000000-0010-0000-0000-000002000000}" uniqueName="2" name="Owner" queryTableFieldId="2" dataDxfId="144"/>
    <tableColumn id="3" xr3:uid="{9CD48492-20D7-4A64-8EC5-5F6B2FE71D7C}" uniqueName="3" name="Unit Number and Nameplate Capacity (MW)" queryTableFieldId="14" dataDxfId="143"/>
    <tableColumn id="4" xr3:uid="{8371704B-1865-408B-A441-B62B91C8B077}" uniqueName="4" name="Nameplate Capacity (MW)" queryTableFieldId="12" dataDxfId="142"/>
    <tableColumn id="5" xr3:uid="{00000000-0010-0000-0000-000005000000}" uniqueName="5" name="Technology Type" queryTableFieldId="5" dataDxfId="141"/>
    <tableColumn id="6" xr3:uid="{00000000-0010-0000-0000-000006000000}" uniqueName="6" name="Fuel Type" queryTableFieldId="6" dataDxfId="140"/>
    <tableColumn id="7" xr3:uid="{00000000-0010-0000-0000-000007000000}" uniqueName="7" name="Dispatch Type" queryTableFieldId="7" dataDxfId="139"/>
    <tableColumn id="8" xr3:uid="{00000000-0010-0000-0000-000008000000}" uniqueName="8" name="Service Status" queryTableFieldId="8" dataDxfId="138"/>
    <tableColumn id="19" xr3:uid="{B05CF521-C245-4002-87EA-F4EABB891CCE}" uniqueName="19" name="Closure Date" queryTableFieldId="16" dataDxfId="137"/>
    <tableColumn id="9" xr3:uid="{00000000-0010-0000-0000-000009000000}" uniqueName="9" name="Region" queryTableFieldId="9" dataDxfId="136"/>
    <tableColumn id="10" xr3:uid="{00000000-0010-0000-0000-00000A000000}" uniqueName="10" name="summary_status" queryTableFieldId="10" dataDxfId="135"/>
    <tableColumn id="11" xr3:uid="{00000000-0010-0000-0000-00000B000000}" uniqueName="11" name="summary_bucket" queryTableFieldId="11" dataDxfId="134"/>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25" tableType="queryTable" totalsRowShown="0" headerRowDxfId="133" headerRowBorderDxfId="132">
  <autoFilter ref="A2:O25" xr:uid="{E4CC0AD2-9AEB-4F57-808E-756C6EA8D879}"/>
  <tableColumns count="15">
    <tableColumn id="1" xr3:uid="{00000000-0010-0000-0100-000001000000}" uniqueName="1" name="PowerStation" queryTableFieldId="1" dataDxfId="131"/>
    <tableColumn id="2" xr3:uid="{00000000-0010-0000-0100-000002000000}" uniqueName="2" name="201819" queryTableFieldId="2" dataDxfId="130" dataCellStyle="Comma"/>
    <tableColumn id="3" xr3:uid="{00000000-0010-0000-0100-000003000000}" uniqueName="3" name="201920" queryTableFieldId="3" dataDxfId="129" dataCellStyle="Comma"/>
    <tableColumn id="4" xr3:uid="{00000000-0010-0000-0100-000004000000}" uniqueName="4" name="202021" queryTableFieldId="4" dataDxfId="128" dataCellStyle="Comma"/>
    <tableColumn id="5" xr3:uid="{00000000-0010-0000-0100-000005000000}" uniqueName="5" name="202122" queryTableFieldId="5" dataDxfId="127" dataCellStyle="Comma"/>
    <tableColumn id="6" xr3:uid="{00000000-0010-0000-0100-000006000000}" uniqueName="6" name="202223" queryTableFieldId="6" dataDxfId="126" dataCellStyle="Comma"/>
    <tableColumn id="7" xr3:uid="{00000000-0010-0000-0100-000007000000}" uniqueName="7" name="202324" queryTableFieldId="7" dataDxfId="125" dataCellStyle="Comma"/>
    <tableColumn id="8" xr3:uid="{00000000-0010-0000-0100-000008000000}" uniqueName="8" name="202425" queryTableFieldId="8" dataDxfId="124" dataCellStyle="Comma"/>
    <tableColumn id="9" xr3:uid="{00000000-0010-0000-0100-000009000000}" uniqueName="9" name="202526" queryTableFieldId="9" dataDxfId="123" dataCellStyle="Comma"/>
    <tableColumn id="10" xr3:uid="{00000000-0010-0000-0100-00000A000000}" uniqueName="10" name="202627" queryTableFieldId="10" dataDxfId="122" dataCellStyle="Comma"/>
    <tableColumn id="11" xr3:uid="{00000000-0010-0000-0100-00000B000000}" uniqueName="11" name="202728" queryTableFieldId="11" dataDxfId="121" dataCellStyle="Comma"/>
    <tableColumn id="12" xr3:uid="{00000000-0010-0000-0100-00000C000000}" uniqueName="12" name="DispatchType" queryTableFieldId="12" dataDxfId="120"/>
    <tableColumn id="13" xr3:uid="{00000000-0010-0000-0100-00000D000000}" uniqueName="13" name="FuelType" queryTableFieldId="13" dataDxfId="119"/>
    <tableColumn id="14" xr3:uid="{00000000-0010-0000-0100-00000E000000}" uniqueName="14" name="Region" queryTableFieldId="14" dataDxfId="118"/>
    <tableColumn id="15" xr3:uid="{00000000-0010-0000-0100-00000F000000}" uniqueName="15" name="Season" queryTableFieldId="15" dataDxfId="117"/>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34:O54" tableType="queryTable" totalsRowShown="0" headerRowDxfId="116" headerRowBorderDxfId="115">
  <autoFilter ref="A34:O54" xr:uid="{2AB2825F-B179-4A83-AD83-0344B8F2849F}"/>
  <tableColumns count="15">
    <tableColumn id="1" xr3:uid="{00000000-0010-0000-0200-000001000000}" uniqueName="1" name="PowerStation" queryTableFieldId="1" dataDxfId="114"/>
    <tableColumn id="2" xr3:uid="{00000000-0010-0000-0200-000002000000}" uniqueName="2" name="201819" queryTableFieldId="2" dataDxfId="113" dataCellStyle="Comma"/>
    <tableColumn id="3" xr3:uid="{00000000-0010-0000-0200-000003000000}" uniqueName="3" name="201920" queryTableFieldId="3" dataDxfId="112" dataCellStyle="Comma"/>
    <tableColumn id="4" xr3:uid="{00000000-0010-0000-0200-000004000000}" uniqueName="4" name="202021" queryTableFieldId="4" dataDxfId="111" dataCellStyle="Comma"/>
    <tableColumn id="5" xr3:uid="{00000000-0010-0000-0200-000005000000}" uniqueName="5" name="202122" queryTableFieldId="5" dataDxfId="110" dataCellStyle="Comma"/>
    <tableColumn id="6" xr3:uid="{00000000-0010-0000-0200-000006000000}" uniqueName="6" name="202223" queryTableFieldId="6" dataDxfId="109" dataCellStyle="Comma"/>
    <tableColumn id="7" xr3:uid="{00000000-0010-0000-0200-000007000000}" uniqueName="7" name="202324" queryTableFieldId="7" dataDxfId="108" dataCellStyle="Comma"/>
    <tableColumn id="8" xr3:uid="{00000000-0010-0000-0200-000008000000}" uniqueName="8" name="202425" queryTableFieldId="8" dataDxfId="107" dataCellStyle="Comma"/>
    <tableColumn id="9" xr3:uid="{00000000-0010-0000-0200-000009000000}" uniqueName="9" name="202526" queryTableFieldId="9" dataDxfId="106" dataCellStyle="Comma"/>
    <tableColumn id="10" xr3:uid="{00000000-0010-0000-0200-00000A000000}" uniqueName="10" name="202627" queryTableFieldId="10" dataDxfId="105" dataCellStyle="Comma"/>
    <tableColumn id="11" xr3:uid="{00000000-0010-0000-0200-00000B000000}" uniqueName="11" name="202728" queryTableFieldId="11" dataDxfId="104" dataCellStyle="Comma"/>
    <tableColumn id="12" xr3:uid="{00000000-0010-0000-0200-00000C000000}" uniqueName="12" name="DispatchType" queryTableFieldId="12" dataDxfId="103"/>
    <tableColumn id="13" xr3:uid="{00000000-0010-0000-0200-00000D000000}" uniqueName="13" name="FuelType" queryTableFieldId="13" dataDxfId="102"/>
    <tableColumn id="14" xr3:uid="{00000000-0010-0000-0200-00000E000000}" uniqueName="14" name="Region" queryTableFieldId="14" dataDxfId="101"/>
    <tableColumn id="15" xr3:uid="{00000000-0010-0000-0200-00000F000000}" uniqueName="15" name="Season" queryTableFieldId="15" dataDxfId="10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60:O63" tableType="queryTable" totalsRowShown="0" headerRowDxfId="99" headerRowBorderDxfId="98">
  <autoFilter ref="A60:O63" xr:uid="{C801DC14-EE7A-4098-B486-6000C8445913}"/>
  <tableColumns count="15">
    <tableColumn id="1" xr3:uid="{00000000-0010-0000-0300-000001000000}" uniqueName="1" name="PowerStation" queryTableFieldId="1" dataDxfId="97"/>
    <tableColumn id="2" xr3:uid="{00000000-0010-0000-0300-000002000000}" uniqueName="2" name="201819" queryTableFieldId="2" dataDxfId="96" dataCellStyle="Comma"/>
    <tableColumn id="3" xr3:uid="{00000000-0010-0000-0300-000003000000}" uniqueName="3" name="201920" queryTableFieldId="3" dataDxfId="95" dataCellStyle="Comma"/>
    <tableColumn id="4" xr3:uid="{00000000-0010-0000-0300-000004000000}" uniqueName="4" name="202021" queryTableFieldId="4" dataDxfId="94" dataCellStyle="Comma"/>
    <tableColumn id="5" xr3:uid="{00000000-0010-0000-0300-000005000000}" uniqueName="5" name="202122" queryTableFieldId="5" dataDxfId="93" dataCellStyle="Comma"/>
    <tableColumn id="6" xr3:uid="{00000000-0010-0000-0300-000006000000}" uniqueName="6" name="202223" queryTableFieldId="6" dataDxfId="92" dataCellStyle="Comma"/>
    <tableColumn id="7" xr3:uid="{00000000-0010-0000-0300-000007000000}" uniqueName="7" name="202324" queryTableFieldId="7" dataDxfId="91" dataCellStyle="Comma"/>
    <tableColumn id="8" xr3:uid="{00000000-0010-0000-0300-000008000000}" uniqueName="8" name="202425" queryTableFieldId="8" dataDxfId="90" dataCellStyle="Comma"/>
    <tableColumn id="9" xr3:uid="{00000000-0010-0000-0300-000009000000}" uniqueName="9" name="202526" queryTableFieldId="9" dataDxfId="89" dataCellStyle="Comma"/>
    <tableColumn id="10" xr3:uid="{00000000-0010-0000-0300-00000A000000}" uniqueName="10" name="202627" queryTableFieldId="10" dataDxfId="88" dataCellStyle="Comma"/>
    <tableColumn id="11" xr3:uid="{00000000-0010-0000-0300-00000B000000}" uniqueName="11" name="202728" queryTableFieldId="11" dataDxfId="87" dataCellStyle="Comma"/>
    <tableColumn id="12" xr3:uid="{00000000-0010-0000-0300-00000C000000}" uniqueName="12" name="DispatchType" queryTableFieldId="12" dataDxfId="86"/>
    <tableColumn id="13" xr3:uid="{00000000-0010-0000-0300-00000D000000}" uniqueName="13" name="FuelType" queryTableFieldId="13" dataDxfId="85"/>
    <tableColumn id="14" xr3:uid="{00000000-0010-0000-0300-00000E000000}" uniqueName="14" name="Region" queryTableFieldId="14" dataDxfId="84"/>
    <tableColumn id="15" xr3:uid="{00000000-0010-0000-0300-00000F000000}" uniqueName="15" name="Season" queryTableFieldId="15" dataDxfId="8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25" tableType="queryTable" totalsRowShown="0" headerRowDxfId="82" headerRowBorderDxfId="81" tableBorderDxfId="80">
  <autoFilter ref="A2:O25" xr:uid="{8581EE3D-444E-49F7-83B4-03697E42D6F2}"/>
  <tableColumns count="15">
    <tableColumn id="1" xr3:uid="{00000000-0010-0000-0400-000001000000}" uniqueName="1" name="PowerStation" queryTableFieldId="1" dataDxfId="79"/>
    <tableColumn id="2" xr3:uid="{00000000-0010-0000-0400-000002000000}" uniqueName="2" name="2019" queryTableFieldId="2" dataDxfId="78" dataCellStyle="Comma"/>
    <tableColumn id="3" xr3:uid="{00000000-0010-0000-0400-000003000000}" uniqueName="3" name="2020" queryTableFieldId="3" dataDxfId="77" dataCellStyle="Comma"/>
    <tableColumn id="4" xr3:uid="{00000000-0010-0000-0400-000004000000}" uniqueName="4" name="2021" queryTableFieldId="4" dataDxfId="76" dataCellStyle="Comma"/>
    <tableColumn id="5" xr3:uid="{00000000-0010-0000-0400-000005000000}" uniqueName="5" name="2022" queryTableFieldId="5" dataDxfId="75" dataCellStyle="Comma"/>
    <tableColumn id="6" xr3:uid="{00000000-0010-0000-0400-000006000000}" uniqueName="6" name="2023" queryTableFieldId="6" dataDxfId="74" dataCellStyle="Comma"/>
    <tableColumn id="7" xr3:uid="{00000000-0010-0000-0400-000007000000}" uniqueName="7" name="2024" queryTableFieldId="7" dataDxfId="73" dataCellStyle="Comma"/>
    <tableColumn id="8" xr3:uid="{00000000-0010-0000-0400-000008000000}" uniqueName="8" name="2025" queryTableFieldId="8" dataDxfId="72" dataCellStyle="Comma"/>
    <tableColumn id="9" xr3:uid="{00000000-0010-0000-0400-000009000000}" uniqueName="9" name="2026" queryTableFieldId="9" dataDxfId="71" dataCellStyle="Comma"/>
    <tableColumn id="10" xr3:uid="{00000000-0010-0000-0400-00000A000000}" uniqueName="10" name="2027" queryTableFieldId="10" dataDxfId="70" dataCellStyle="Comma"/>
    <tableColumn id="11" xr3:uid="{00000000-0010-0000-0400-00000B000000}" uniqueName="11" name="2028" queryTableFieldId="11" dataDxfId="69" dataCellStyle="Comma"/>
    <tableColumn id="12" xr3:uid="{00000000-0010-0000-0400-00000C000000}" uniqueName="12" name="DispatchType" queryTableFieldId="12" dataDxfId="68"/>
    <tableColumn id="13" xr3:uid="{00000000-0010-0000-0400-00000D000000}" uniqueName="13" name="FuelType" queryTableFieldId="13" dataDxfId="67"/>
    <tableColumn id="14" xr3:uid="{00000000-0010-0000-0400-00000E000000}" uniqueName="14" name="Region" queryTableFieldId="14" dataDxfId="66"/>
    <tableColumn id="15" xr3:uid="{00000000-0010-0000-0400-00000F000000}" uniqueName="15" name="Season" queryTableFieldId="15" dataDxfId="65"/>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34:O54" tableType="queryTable" totalsRowShown="0" headerRowDxfId="64" headerRowBorderDxfId="63" tableBorderDxfId="62">
  <autoFilter ref="A34:O54" xr:uid="{A1B14DD8-2DE2-41DC-91D4-DAC5ABA37959}"/>
  <tableColumns count="15">
    <tableColumn id="1" xr3:uid="{00000000-0010-0000-0500-000001000000}" uniqueName="1" name="PowerStation" queryTableFieldId="1" dataDxfId="61"/>
    <tableColumn id="2" xr3:uid="{00000000-0010-0000-0500-000002000000}" uniqueName="2" name="2019" queryTableFieldId="2" dataDxfId="60" dataCellStyle="Comma"/>
    <tableColumn id="3" xr3:uid="{00000000-0010-0000-0500-000003000000}" uniqueName="3" name="2020" queryTableFieldId="3" dataDxfId="59" dataCellStyle="Comma"/>
    <tableColumn id="4" xr3:uid="{00000000-0010-0000-0500-000004000000}" uniqueName="4" name="2021" queryTableFieldId="4" dataDxfId="58" dataCellStyle="Comma"/>
    <tableColumn id="5" xr3:uid="{00000000-0010-0000-0500-000005000000}" uniqueName="5" name="2022" queryTableFieldId="5" dataDxfId="57" dataCellStyle="Comma"/>
    <tableColumn id="6" xr3:uid="{00000000-0010-0000-0500-000006000000}" uniqueName="6" name="2023" queryTableFieldId="6" dataDxfId="56" dataCellStyle="Comma"/>
    <tableColumn id="7" xr3:uid="{00000000-0010-0000-0500-000007000000}" uniqueName="7" name="2024" queryTableFieldId="7" dataDxfId="55" dataCellStyle="Comma"/>
    <tableColumn id="8" xr3:uid="{00000000-0010-0000-0500-000008000000}" uniqueName="8" name="2025" queryTableFieldId="8" dataDxfId="54" dataCellStyle="Comma"/>
    <tableColumn id="9" xr3:uid="{00000000-0010-0000-0500-000009000000}" uniqueName="9" name="2026" queryTableFieldId="9" dataDxfId="53" dataCellStyle="Comma"/>
    <tableColumn id="10" xr3:uid="{00000000-0010-0000-0500-00000A000000}" uniqueName="10" name="2027" queryTableFieldId="10" dataDxfId="52" dataCellStyle="Comma"/>
    <tableColumn id="11" xr3:uid="{00000000-0010-0000-0500-00000B000000}" uniqueName="11" name="2028" queryTableFieldId="11" dataDxfId="51" dataCellStyle="Comma"/>
    <tableColumn id="12" xr3:uid="{00000000-0010-0000-0500-00000C000000}" uniqueName="12" name="DispatchType" queryTableFieldId="12" dataDxfId="50"/>
    <tableColumn id="13" xr3:uid="{00000000-0010-0000-0500-00000D000000}" uniqueName="13" name="FuelType" queryTableFieldId="13" dataDxfId="49"/>
    <tableColumn id="14" xr3:uid="{00000000-0010-0000-0500-00000E000000}" uniqueName="14" name="Region" queryTableFieldId="14" dataDxfId="48"/>
    <tableColumn id="15" xr3:uid="{00000000-0010-0000-0500-00000F000000}" uniqueName="15" name="Season" queryTableFieldId="15" dataDxfId="47"/>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60:O63" tableType="queryTable" totalsRowShown="0" headerRowDxfId="46" headerRowBorderDxfId="45" tableBorderDxfId="44">
  <autoFilter ref="A60:O63" xr:uid="{4FD9CA85-D3BB-484F-9C4D-F046F22AF4D0}"/>
  <tableColumns count="15">
    <tableColumn id="1" xr3:uid="{00000000-0010-0000-0600-000001000000}" uniqueName="1" name="PowerStation" queryTableFieldId="1" dataDxfId="43"/>
    <tableColumn id="2" xr3:uid="{00000000-0010-0000-0600-000002000000}" uniqueName="2" name="2019" queryTableFieldId="2" dataDxfId="42" dataCellStyle="Comma"/>
    <tableColumn id="3" xr3:uid="{00000000-0010-0000-0600-000003000000}" uniqueName="3" name="2020" queryTableFieldId="3" dataDxfId="41" dataCellStyle="Comma"/>
    <tableColumn id="4" xr3:uid="{00000000-0010-0000-0600-000004000000}" uniqueName="4" name="2021" queryTableFieldId="4" dataDxfId="40" dataCellStyle="Comma"/>
    <tableColumn id="5" xr3:uid="{00000000-0010-0000-0600-000005000000}" uniqueName="5" name="2022" queryTableFieldId="5" dataDxfId="39" dataCellStyle="Comma"/>
    <tableColumn id="6" xr3:uid="{00000000-0010-0000-0600-000006000000}" uniqueName="6" name="2023" queryTableFieldId="6" dataDxfId="38" dataCellStyle="Comma"/>
    <tableColumn id="7" xr3:uid="{00000000-0010-0000-0600-000007000000}" uniqueName="7" name="2024" queryTableFieldId="7" dataDxfId="37" dataCellStyle="Comma"/>
    <tableColumn id="8" xr3:uid="{00000000-0010-0000-0600-000008000000}" uniqueName="8" name="2025" queryTableFieldId="8" dataDxfId="36" dataCellStyle="Comma"/>
    <tableColumn id="9" xr3:uid="{00000000-0010-0000-0600-000009000000}" uniqueName="9" name="2026" queryTableFieldId="9" dataDxfId="35" dataCellStyle="Comma"/>
    <tableColumn id="10" xr3:uid="{00000000-0010-0000-0600-00000A000000}" uniqueName="10" name="2027" queryTableFieldId="10" dataDxfId="34" dataCellStyle="Comma"/>
    <tableColumn id="11" xr3:uid="{00000000-0010-0000-0600-00000B000000}" uniqueName="11" name="2028" queryTableFieldId="11" dataDxfId="33" dataCellStyle="Comma"/>
    <tableColumn id="12" xr3:uid="{00000000-0010-0000-0600-00000C000000}" uniqueName="12" name="DispatchType" queryTableFieldId="12" dataDxfId="32"/>
    <tableColumn id="13" xr3:uid="{00000000-0010-0000-0600-00000D000000}" uniqueName="13" name="FuelType" queryTableFieldId="13" dataDxfId="31"/>
    <tableColumn id="14" xr3:uid="{00000000-0010-0000-0600-00000E000000}" uniqueName="14" name="Region" queryTableFieldId="14" dataDxfId="30"/>
    <tableColumn id="15" xr3:uid="{00000000-0010-0000-0600-00000F000000}" uniqueName="15" name="Season" queryTableFieldId="15"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16" tableType="queryTable" totalsRowShown="0" headerRowDxfId="28" headerRowBorderDxfId="27">
  <autoFilter ref="A2:I16" xr:uid="{F6B6883D-D40C-4A56-A736-16E1CF5CF0EF}"/>
  <tableColumns count="9">
    <tableColumn id="1" xr3:uid="{00000000-0010-0000-0700-000001000000}" uniqueName="1" name="Power Station" queryTableFieldId="1" dataDxfId="26"/>
    <tableColumn id="2" xr3:uid="{00000000-0010-0000-0700-000002000000}" uniqueName="2" name="Owner" queryTableFieldId="2" dataDxfId="25"/>
    <tableColumn id="3" xr3:uid="{00000000-0010-0000-0700-000003000000}" uniqueName="3" name="Nameplate Capacity (MW)" queryTableFieldId="3" dataDxfId="24"/>
    <tableColumn id="4" xr3:uid="{00000000-0010-0000-0700-000004000000}" uniqueName="4" name="Technology Type" queryTableFieldId="4" dataDxfId="23"/>
    <tableColumn id="5" xr3:uid="{00000000-0010-0000-0700-000005000000}" uniqueName="5" name="Fuel Type" queryTableFieldId="5" dataDxfId="22"/>
    <tableColumn id="6" xr3:uid="{0ED6ECB3-5141-4471-97CE-07F9EA537354}" uniqueName="6" name="Service Status" queryTableFieldId="10" dataDxfId="21"/>
    <tableColumn id="7" xr3:uid="{00000000-0010-0000-0700-000007000000}" uniqueName="7" name="Region" queryTableFieldId="7" dataDxfId="20"/>
    <tableColumn id="8" xr3:uid="{00000000-0010-0000-0700-000008000000}" uniqueName="8" name="summary_bucket" queryTableFieldId="8" dataDxfId="19"/>
    <tableColumn id="9" xr3:uid="{00000000-0010-0000-0700-000009000000}" uniqueName="9" name="summary_status" queryTableFieldId="9"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15" tableType="queryTable" totalsRowShown="0" headerRowDxfId="17" headerRowBorderDxfId="16" tableBorderDxfId="15">
  <tableColumns count="15">
    <tableColumn id="1" xr3:uid="{00000000-0010-0000-0800-000001000000}" uniqueName="1" name="Project" queryTableFieldId="1" dataDxfId="14"/>
    <tableColumn id="2" xr3:uid="{00000000-0010-0000-0800-000002000000}" uniqueName="2" name="Owner" queryTableFieldId="2" dataDxfId="13"/>
    <tableColumn id="3" xr3:uid="{00000000-0010-0000-0800-000003000000}" uniqueName="3" name="Unit Id" queryTableFieldId="3" dataDxfId="12"/>
    <tableColumn id="4" xr3:uid="{00000000-0010-0000-0800-000004000000}" uniqueName="4" name="Technology Type" queryTableFieldId="4" dataDxfId="11"/>
    <tableColumn id="5" xr3:uid="{00000000-0010-0000-0800-000005000000}" uniqueName="5" name="Fuel Type" queryTableFieldId="5" dataDxfId="10"/>
    <tableColumn id="6" xr3:uid="{00000000-0010-0000-0800-000006000000}" uniqueName="6" name="Unit Status" queryTableFieldId="6" dataDxfId="9"/>
    <tableColumn id="7" xr3:uid="{00000000-0010-0000-0800-000007000000}" uniqueName="7" name="Nameplate Capacity (MW)" queryTableFieldId="7" dataDxfId="8"/>
    <tableColumn id="8" xr3:uid="{00000000-0010-0000-0800-000008000000}" uniqueName="8" name="Dispatch Type" queryTableFieldId="8" dataDxfId="7"/>
    <tableColumn id="9" xr3:uid="{00000000-0010-0000-0800-000009000000}" uniqueName="9" name="Full Commercial Use Date" queryTableFieldId="9" dataDxfId="6"/>
    <tableColumn id="15" xr3:uid="{00000000-0010-0000-0800-00000F000000}" uniqueName="15" name="Source" queryTableFieldId="15" dataDxfId="5"/>
    <tableColumn id="10" xr3:uid="{00000000-0010-0000-0800-00000A000000}" uniqueName="10" name="summary_status" queryTableFieldId="10" dataDxfId="4"/>
    <tableColumn id="11" xr3:uid="{00000000-0010-0000-0800-00000B000000}" uniqueName="11" name="nameplatecapacity_mw_max" queryTableFieldId="11" dataDxfId="3"/>
    <tableColumn id="12" xr3:uid="{00000000-0010-0000-0800-00000C000000}" uniqueName="12" name="capacity_empty" queryTableFieldId="12" dataDxfId="2"/>
    <tableColumn id="13" xr3:uid="{00000000-0010-0000-0800-00000D000000}" uniqueName="13" name="region" queryTableFieldId="13" dataDxfId="1"/>
    <tableColumn id="14" xr3:uid="{00000000-0010-0000-0800-00000E000000}" uniqueName="14" name="summary_bucket" queryTableFieldId="14"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93"/>
  <sheetViews>
    <sheetView showGridLines="0" tabSelected="1" zoomScaleNormal="100" workbookViewId="0"/>
  </sheetViews>
  <sheetFormatPr defaultRowHeight="14.5"/>
  <cols>
    <col min="1" max="1" width="4.7265625" customWidth="1"/>
    <col min="2" max="2" width="40.7265625" customWidth="1"/>
    <col min="11" max="11" width="9.1796875" style="7"/>
  </cols>
  <sheetData>
    <row r="1" spans="1:11" ht="15" thickBot="1">
      <c r="A1" s="22" t="s">
        <v>20</v>
      </c>
    </row>
    <row r="2" spans="1:11" ht="15.5" thickTop="1" thickBot="1">
      <c r="B2" s="5" t="s">
        <v>110</v>
      </c>
      <c r="C2" s="4"/>
      <c r="D2" s="4"/>
      <c r="E2" s="4"/>
      <c r="F2" s="4"/>
      <c r="G2" s="4"/>
      <c r="H2" s="4"/>
      <c r="I2" s="6"/>
      <c r="J2" s="8"/>
      <c r="K2"/>
    </row>
    <row r="3" spans="1:11">
      <c r="B3" s="6" t="s">
        <v>111</v>
      </c>
      <c r="I3" s="6"/>
      <c r="J3" s="8"/>
      <c r="K3"/>
    </row>
    <row r="4" spans="1:11">
      <c r="B4" s="24" t="s">
        <v>131</v>
      </c>
      <c r="C4" s="25"/>
      <c r="D4" s="25"/>
      <c r="E4" s="25"/>
      <c r="F4" s="25"/>
      <c r="G4" s="25"/>
      <c r="H4" s="26"/>
      <c r="I4" s="6"/>
      <c r="J4" s="11"/>
      <c r="K4" s="11"/>
    </row>
    <row r="5" spans="1:11" ht="15" thickBot="1">
      <c r="B5" s="154" t="s">
        <v>132</v>
      </c>
      <c r="C5" s="155"/>
      <c r="D5" s="155"/>
      <c r="E5" s="155"/>
      <c r="F5" s="155"/>
      <c r="G5" s="155"/>
      <c r="H5" s="156"/>
      <c r="I5" s="6"/>
      <c r="J5" s="11"/>
      <c r="K5" s="11"/>
    </row>
    <row r="6" spans="1:11" ht="15" thickTop="1">
      <c r="B6" s="27"/>
      <c r="C6" s="27"/>
      <c r="D6" s="27"/>
      <c r="E6" s="27"/>
      <c r="F6" s="27"/>
      <c r="G6" s="27"/>
      <c r="H6" s="27"/>
      <c r="I6" s="8"/>
      <c r="J6" s="11"/>
      <c r="K6" s="11"/>
    </row>
    <row r="7" spans="1:11">
      <c r="B7" s="28" t="s">
        <v>344</v>
      </c>
      <c r="C7" s="27"/>
      <c r="D7" s="27"/>
      <c r="E7" s="27"/>
      <c r="F7" s="27"/>
      <c r="G7" s="27"/>
      <c r="H7" s="27"/>
      <c r="I7" s="8"/>
      <c r="J7" s="11"/>
      <c r="K7" s="11"/>
    </row>
    <row r="8" spans="1:11" s="11" customFormat="1" ht="15" thickBot="1">
      <c r="B8" s="8"/>
      <c r="C8" s="8"/>
      <c r="D8" s="8"/>
      <c r="E8" s="8"/>
      <c r="F8" s="8"/>
      <c r="G8" s="8"/>
      <c r="H8" s="8"/>
    </row>
    <row r="9" spans="1:11" s="11" customFormat="1" ht="19.5" thickBot="1">
      <c r="B9" s="1" t="s">
        <v>133</v>
      </c>
    </row>
    <row r="10" spans="1:11" s="11" customFormat="1"/>
    <row r="11" spans="1:11" s="11" customFormat="1">
      <c r="B11" s="29" t="s">
        <v>134</v>
      </c>
      <c r="C11" s="30"/>
      <c r="D11" s="30"/>
      <c r="E11" s="30"/>
      <c r="F11" s="30"/>
      <c r="G11" s="30"/>
      <c r="H11" s="30"/>
      <c r="I11" s="30"/>
      <c r="J11" s="30"/>
      <c r="K11" s="31"/>
    </row>
    <row r="12" spans="1:11" s="23" customFormat="1" ht="19.5" customHeight="1">
      <c r="B12" s="161" t="s">
        <v>336</v>
      </c>
      <c r="C12" s="159"/>
      <c r="D12" s="159"/>
      <c r="E12" s="159"/>
      <c r="F12" s="159"/>
      <c r="G12" s="159"/>
      <c r="H12" s="159"/>
      <c r="I12" s="159"/>
      <c r="J12" s="159"/>
      <c r="K12" s="159"/>
    </row>
    <row r="13" spans="1:11" s="144" customFormat="1">
      <c r="B13" s="34"/>
      <c r="C13" s="97"/>
      <c r="D13" s="97"/>
      <c r="E13" s="97"/>
      <c r="F13" s="97"/>
      <c r="G13" s="97"/>
      <c r="H13" s="97"/>
      <c r="I13" s="97"/>
      <c r="J13" s="97"/>
    </row>
    <row r="14" spans="1:11" s="11" customFormat="1">
      <c r="B14" s="157" t="s">
        <v>136</v>
      </c>
      <c r="C14" s="157"/>
      <c r="D14" s="157"/>
      <c r="E14" s="157"/>
      <c r="F14" s="30"/>
      <c r="G14" s="30"/>
      <c r="H14" s="30"/>
      <c r="I14" s="30"/>
      <c r="J14" s="30"/>
      <c r="K14" s="31"/>
    </row>
    <row r="15" spans="1:11" s="11" customFormat="1">
      <c r="B15" s="33" t="s">
        <v>121</v>
      </c>
      <c r="C15" s="30"/>
      <c r="D15" s="30"/>
      <c r="E15" s="30"/>
      <c r="F15" s="30"/>
      <c r="G15" s="30"/>
      <c r="H15" s="30"/>
      <c r="I15" s="30"/>
      <c r="J15" s="30"/>
    </row>
    <row r="16" spans="1:11" s="11" customFormat="1">
      <c r="B16" s="158" t="s">
        <v>137</v>
      </c>
      <c r="C16" s="158"/>
      <c r="D16" s="158"/>
      <c r="E16" s="158"/>
      <c r="F16" s="158"/>
      <c r="G16" s="158"/>
      <c r="H16" s="158"/>
      <c r="I16" s="158"/>
      <c r="J16" s="158"/>
    </row>
    <row r="17" spans="2:10" s="11" customFormat="1">
      <c r="B17" s="34"/>
      <c r="C17" s="30"/>
      <c r="D17" s="30"/>
      <c r="E17" s="30"/>
      <c r="F17" s="30"/>
      <c r="G17" s="30"/>
      <c r="H17" s="30"/>
      <c r="I17" s="30"/>
      <c r="J17" s="30"/>
    </row>
    <row r="18" spans="2:10" s="11" customFormat="1">
      <c r="B18" s="33" t="s">
        <v>138</v>
      </c>
      <c r="C18" s="30"/>
      <c r="D18" s="30"/>
      <c r="E18" s="30"/>
      <c r="F18" s="30"/>
      <c r="G18" s="30"/>
      <c r="H18" s="30"/>
      <c r="I18" s="30"/>
      <c r="J18" s="30"/>
    </row>
    <row r="19" spans="2:10" s="11" customFormat="1" ht="24" customHeight="1">
      <c r="B19" s="159" t="s">
        <v>203</v>
      </c>
      <c r="C19" s="159"/>
      <c r="D19" s="159"/>
      <c r="E19" s="159"/>
      <c r="F19" s="159"/>
      <c r="G19" s="159"/>
      <c r="H19" s="159"/>
      <c r="I19" s="159"/>
      <c r="J19" s="159"/>
    </row>
    <row r="20" spans="2:10" s="11" customFormat="1">
      <c r="B20" s="34"/>
      <c r="C20" s="30"/>
      <c r="D20" s="30"/>
      <c r="E20" s="30"/>
      <c r="F20" s="30"/>
      <c r="G20" s="30"/>
      <c r="H20" s="30"/>
      <c r="I20" s="30"/>
      <c r="J20" s="30"/>
    </row>
    <row r="21" spans="2:10" s="11" customFormat="1">
      <c r="B21" s="34" t="s">
        <v>140</v>
      </c>
      <c r="C21" s="30"/>
      <c r="D21" s="30"/>
      <c r="E21" s="30"/>
      <c r="F21" s="30"/>
      <c r="G21" s="30"/>
      <c r="H21" s="30"/>
      <c r="I21" s="30"/>
      <c r="J21" s="30"/>
    </row>
    <row r="22" spans="2:10" s="11" customFormat="1">
      <c r="B22" s="159" t="s">
        <v>141</v>
      </c>
      <c r="C22" s="159"/>
      <c r="D22" s="159"/>
      <c r="E22" s="159"/>
      <c r="F22" s="159"/>
      <c r="G22" s="159"/>
      <c r="H22" s="159"/>
      <c r="I22" s="159"/>
      <c r="J22" s="159"/>
    </row>
    <row r="23" spans="2:10" s="11" customFormat="1">
      <c r="B23" s="162" t="s">
        <v>233</v>
      </c>
      <c r="C23" s="162"/>
      <c r="D23" s="162"/>
      <c r="E23" s="162"/>
      <c r="F23" s="162"/>
      <c r="G23" s="162"/>
      <c r="H23" s="162"/>
      <c r="I23" s="162"/>
      <c r="J23" s="162"/>
    </row>
    <row r="24" spans="2:10" s="11" customFormat="1">
      <c r="B24" s="34"/>
      <c r="C24" s="30"/>
      <c r="D24" s="30"/>
      <c r="E24" s="30"/>
      <c r="F24" s="30"/>
      <c r="G24" s="30"/>
      <c r="H24" s="30"/>
      <c r="I24" s="30"/>
      <c r="J24" s="30"/>
    </row>
    <row r="25" spans="2:10" s="11" customFormat="1">
      <c r="B25" s="34" t="s">
        <v>142</v>
      </c>
      <c r="C25" s="30"/>
      <c r="D25" s="30"/>
      <c r="E25" s="30"/>
      <c r="F25" s="30"/>
      <c r="G25" s="30"/>
      <c r="H25" s="30"/>
      <c r="I25" s="30"/>
      <c r="J25" s="30"/>
    </row>
    <row r="26" spans="2:10" s="11" customFormat="1">
      <c r="B26" s="36" t="s">
        <v>143</v>
      </c>
      <c r="C26" s="30"/>
      <c r="D26" s="30"/>
      <c r="E26" s="30"/>
      <c r="F26" s="30"/>
      <c r="G26" s="30"/>
      <c r="H26" s="30"/>
      <c r="I26" s="30"/>
      <c r="J26" s="30"/>
    </row>
    <row r="27" spans="2:10" s="11" customFormat="1">
      <c r="B27" s="34"/>
      <c r="C27" s="30"/>
      <c r="D27" s="30"/>
      <c r="E27" s="30"/>
      <c r="F27" s="30"/>
      <c r="G27" s="30"/>
      <c r="H27" s="30"/>
      <c r="I27" s="30"/>
      <c r="J27" s="30"/>
    </row>
    <row r="28" spans="2:10" s="11" customFormat="1">
      <c r="B28" s="29" t="s">
        <v>144</v>
      </c>
      <c r="C28" s="30"/>
      <c r="D28" s="30"/>
      <c r="E28" s="30"/>
      <c r="F28" s="30"/>
      <c r="G28" s="30"/>
      <c r="H28" s="30"/>
      <c r="I28" s="30"/>
      <c r="J28" s="30"/>
    </row>
    <row r="29" spans="2:10" s="11" customFormat="1">
      <c r="B29" s="37" t="s">
        <v>145</v>
      </c>
      <c r="C29" s="38"/>
      <c r="D29" s="38"/>
      <c r="E29" s="38"/>
      <c r="F29" s="38"/>
      <c r="G29" s="38"/>
      <c r="H29" s="38"/>
      <c r="I29" s="38"/>
      <c r="J29" s="38"/>
    </row>
    <row r="30" spans="2:10" s="11" customFormat="1" ht="27" customHeight="1">
      <c r="B30" s="163" t="s">
        <v>146</v>
      </c>
      <c r="C30" s="163"/>
      <c r="D30" s="163"/>
      <c r="E30" s="163"/>
      <c r="F30" s="163"/>
      <c r="G30" s="163"/>
      <c r="H30" s="163"/>
      <c r="I30" s="163"/>
      <c r="J30" s="163"/>
    </row>
    <row r="31" spans="2:10" s="11" customFormat="1">
      <c r="B31" s="39" t="s">
        <v>147</v>
      </c>
      <c r="C31" s="38"/>
      <c r="D31" s="38"/>
      <c r="E31" s="38"/>
      <c r="F31" s="38"/>
      <c r="G31" s="38"/>
      <c r="H31" s="38"/>
      <c r="I31" s="38"/>
      <c r="J31" s="38"/>
    </row>
    <row r="32" spans="2:10" s="11" customFormat="1">
      <c r="B32" s="40" t="s">
        <v>148</v>
      </c>
      <c r="C32" s="39"/>
      <c r="D32" s="38"/>
      <c r="E32" s="38"/>
      <c r="F32" s="38"/>
      <c r="G32" s="38"/>
      <c r="H32" s="38"/>
      <c r="I32" s="38"/>
      <c r="J32" s="38"/>
    </row>
    <row r="33" spans="2:10" s="11" customFormat="1">
      <c r="B33" s="39" t="s">
        <v>149</v>
      </c>
      <c r="C33" s="38"/>
      <c r="D33" s="38"/>
      <c r="E33" s="38"/>
      <c r="F33" s="38"/>
      <c r="G33" s="38"/>
      <c r="H33" s="38"/>
      <c r="I33" s="38"/>
      <c r="J33" s="38"/>
    </row>
    <row r="34" spans="2:10" s="11" customFormat="1">
      <c r="B34" s="40" t="s">
        <v>148</v>
      </c>
      <c r="C34" s="39"/>
      <c r="D34" s="38"/>
      <c r="E34" s="38"/>
      <c r="F34" s="38"/>
      <c r="G34" s="38"/>
      <c r="H34" s="38"/>
      <c r="I34" s="38"/>
      <c r="J34" s="38"/>
    </row>
    <row r="35" spans="2:10" s="11" customFormat="1">
      <c r="B35" s="39" t="s">
        <v>150</v>
      </c>
      <c r="C35" s="38"/>
      <c r="D35" s="38"/>
      <c r="E35" s="38"/>
      <c r="F35" s="38"/>
      <c r="G35" s="38"/>
      <c r="H35" s="38"/>
      <c r="I35" s="38"/>
      <c r="J35" s="38"/>
    </row>
    <row r="36" spans="2:10" s="11" customFormat="1">
      <c r="B36" s="40" t="s">
        <v>148</v>
      </c>
      <c r="C36" s="39"/>
      <c r="D36" s="38"/>
      <c r="E36" s="38"/>
      <c r="F36" s="38"/>
      <c r="G36" s="38"/>
      <c r="H36" s="38"/>
      <c r="I36" s="38"/>
      <c r="J36" s="38"/>
    </row>
    <row r="37" spans="2:10" s="11" customFormat="1" ht="27" customHeight="1">
      <c r="B37" s="164" t="s">
        <v>151</v>
      </c>
      <c r="C37" s="164"/>
      <c r="D37" s="164"/>
      <c r="E37" s="164"/>
      <c r="F37" s="164"/>
      <c r="G37" s="164"/>
      <c r="H37" s="164"/>
      <c r="I37" s="164"/>
      <c r="J37" s="164"/>
    </row>
    <row r="38" spans="2:10" s="11" customFormat="1" ht="27" customHeight="1">
      <c r="B38" s="164" t="s">
        <v>152</v>
      </c>
      <c r="C38" s="164"/>
      <c r="D38" s="164"/>
      <c r="E38" s="164"/>
      <c r="F38" s="164"/>
      <c r="G38" s="164"/>
      <c r="H38" s="164"/>
      <c r="I38" s="164"/>
      <c r="J38" s="164"/>
    </row>
    <row r="39" spans="2:10" s="11" customFormat="1">
      <c r="B39" s="41" t="s">
        <v>153</v>
      </c>
      <c r="C39" s="38"/>
      <c r="D39" s="38"/>
      <c r="E39" s="38"/>
      <c r="F39" s="38"/>
      <c r="G39" s="38"/>
      <c r="H39" s="38"/>
      <c r="I39" s="38"/>
      <c r="J39" s="38"/>
    </row>
    <row r="40" spans="2:10" s="11" customFormat="1">
      <c r="B40" s="40" t="s">
        <v>154</v>
      </c>
      <c r="C40" s="39"/>
      <c r="D40" s="38"/>
      <c r="E40" s="38"/>
      <c r="F40" s="38"/>
      <c r="G40" s="38"/>
      <c r="H40" s="38"/>
      <c r="I40" s="38"/>
      <c r="J40" s="38"/>
    </row>
    <row r="41" spans="2:10" s="11" customFormat="1">
      <c r="B41" s="41" t="s">
        <v>155</v>
      </c>
      <c r="C41" s="38"/>
      <c r="D41" s="38"/>
      <c r="E41" s="38"/>
      <c r="F41" s="38"/>
      <c r="G41" s="38"/>
      <c r="H41" s="38"/>
      <c r="I41" s="38"/>
      <c r="J41" s="38"/>
    </row>
    <row r="42" spans="2:10" s="11" customFormat="1">
      <c r="B42" s="40" t="s">
        <v>156</v>
      </c>
      <c r="C42" s="39"/>
      <c r="D42" s="38"/>
      <c r="E42" s="38"/>
      <c r="F42" s="38"/>
      <c r="G42" s="38"/>
      <c r="H42" s="38"/>
      <c r="I42" s="38"/>
      <c r="J42" s="38"/>
    </row>
    <row r="43" spans="2:10" s="11" customFormat="1">
      <c r="B43" s="41" t="s">
        <v>157</v>
      </c>
      <c r="C43" s="38"/>
      <c r="D43" s="38"/>
      <c r="E43" s="38"/>
      <c r="F43" s="38"/>
      <c r="G43" s="38"/>
      <c r="H43" s="38"/>
      <c r="I43" s="38"/>
      <c r="J43" s="38"/>
    </row>
    <row r="44" spans="2:10" s="11" customFormat="1">
      <c r="B44" s="40" t="s">
        <v>158</v>
      </c>
      <c r="C44" s="39"/>
      <c r="D44" s="38"/>
      <c r="E44" s="38"/>
      <c r="F44" s="38"/>
      <c r="G44" s="38"/>
      <c r="H44" s="38"/>
      <c r="I44" s="38"/>
      <c r="J44" s="38"/>
    </row>
    <row r="45" spans="2:10" s="11" customFormat="1" ht="28.5" customHeight="1">
      <c r="B45" s="164" t="s">
        <v>159</v>
      </c>
      <c r="C45" s="164"/>
      <c r="D45" s="164"/>
      <c r="E45" s="164"/>
      <c r="F45" s="164"/>
      <c r="G45" s="164"/>
      <c r="H45" s="164"/>
      <c r="I45" s="164"/>
      <c r="J45" s="164"/>
    </row>
    <row r="46" spans="2:10" s="11" customFormat="1" ht="28.5" customHeight="1">
      <c r="B46" s="153" t="s">
        <v>160</v>
      </c>
      <c r="C46" s="153"/>
      <c r="D46" s="153"/>
      <c r="E46" s="153"/>
      <c r="F46" s="153"/>
      <c r="G46" s="153"/>
      <c r="H46" s="153"/>
      <c r="I46" s="153"/>
      <c r="J46" s="153"/>
    </row>
    <row r="47" spans="2:10" s="11" customFormat="1" ht="28.5" customHeight="1">
      <c r="B47" s="153" t="s">
        <v>161</v>
      </c>
      <c r="C47" s="153"/>
      <c r="D47" s="153"/>
      <c r="E47" s="153"/>
      <c r="F47" s="153"/>
      <c r="G47" s="153"/>
      <c r="H47" s="153"/>
      <c r="I47" s="153"/>
      <c r="J47" s="153"/>
    </row>
    <row r="48" spans="2:10" s="11" customFormat="1" ht="21.75" customHeight="1">
      <c r="B48" s="153" t="s">
        <v>162</v>
      </c>
      <c r="C48" s="153"/>
      <c r="D48" s="153"/>
      <c r="E48" s="153"/>
      <c r="F48" s="153"/>
      <c r="G48" s="153"/>
      <c r="H48" s="153"/>
      <c r="I48" s="153"/>
      <c r="J48" s="153"/>
    </row>
    <row r="49" spans="2:10" s="11" customFormat="1" ht="26.25" customHeight="1">
      <c r="B49" s="153" t="s">
        <v>163</v>
      </c>
      <c r="C49" s="153"/>
      <c r="D49" s="153"/>
      <c r="E49" s="153"/>
      <c r="F49" s="153"/>
      <c r="G49" s="153"/>
      <c r="H49" s="153"/>
      <c r="I49" s="153"/>
      <c r="J49" s="153"/>
    </row>
    <row r="50" spans="2:10" s="11" customFormat="1">
      <c r="B50" s="160" t="s">
        <v>164</v>
      </c>
      <c r="C50" s="160"/>
      <c r="D50" s="160"/>
      <c r="E50" s="160"/>
      <c r="F50" s="160"/>
      <c r="G50" s="160"/>
      <c r="H50" s="160"/>
      <c r="I50" s="160"/>
      <c r="J50" s="160"/>
    </row>
    <row r="51" spans="2:10" s="11" customFormat="1">
      <c r="B51" s="42" t="s">
        <v>165</v>
      </c>
      <c r="C51" s="38"/>
      <c r="D51" s="38"/>
      <c r="E51" s="38"/>
      <c r="F51" s="38"/>
      <c r="G51" s="38"/>
      <c r="H51" s="38"/>
      <c r="I51" s="38"/>
      <c r="J51" s="38"/>
    </row>
    <row r="52" spans="2:10" s="11" customFormat="1">
      <c r="B52" s="37" t="s">
        <v>166</v>
      </c>
      <c r="C52" s="38"/>
      <c r="D52" s="38"/>
      <c r="E52" s="38"/>
      <c r="F52" s="38"/>
      <c r="G52" s="38"/>
      <c r="H52" s="38"/>
      <c r="I52" s="38"/>
      <c r="J52" s="38"/>
    </row>
    <row r="53" spans="2:10" s="11" customFormat="1">
      <c r="B53" s="42" t="s">
        <v>167</v>
      </c>
      <c r="C53" s="38"/>
      <c r="D53" s="38"/>
      <c r="E53" s="38"/>
      <c r="F53" s="38"/>
      <c r="G53" s="38"/>
      <c r="H53" s="38"/>
      <c r="I53" s="38"/>
      <c r="J53" s="38"/>
    </row>
    <row r="54" spans="2:10" s="11" customFormat="1">
      <c r="B54" s="42" t="s">
        <v>168</v>
      </c>
      <c r="C54" s="38"/>
      <c r="D54" s="38"/>
      <c r="E54" s="38"/>
      <c r="F54" s="38"/>
      <c r="G54" s="38"/>
      <c r="H54" s="38"/>
      <c r="I54" s="38"/>
      <c r="J54" s="38"/>
    </row>
    <row r="55" spans="2:10" s="11" customFormat="1">
      <c r="B55" s="37" t="s">
        <v>169</v>
      </c>
      <c r="C55" s="38"/>
      <c r="D55" s="38"/>
      <c r="E55" s="38"/>
      <c r="F55" s="38"/>
      <c r="G55" s="38"/>
      <c r="H55" s="38"/>
      <c r="I55" s="38"/>
      <c r="J55" s="38"/>
    </row>
    <row r="56" spans="2:10" s="11" customFormat="1">
      <c r="B56" s="42" t="s">
        <v>170</v>
      </c>
      <c r="C56" s="38"/>
      <c r="D56" s="38"/>
      <c r="E56" s="38"/>
      <c r="F56" s="38"/>
      <c r="G56" s="38"/>
      <c r="H56" s="38"/>
      <c r="I56" s="38"/>
      <c r="J56" s="38"/>
    </row>
    <row r="57" spans="2:10" s="11" customFormat="1">
      <c r="B57" s="42" t="s">
        <v>171</v>
      </c>
      <c r="C57" s="38"/>
      <c r="D57" s="38"/>
      <c r="E57" s="38"/>
      <c r="F57" s="38"/>
      <c r="G57" s="38"/>
      <c r="H57" s="38"/>
      <c r="I57" s="38"/>
      <c r="J57" s="38"/>
    </row>
    <row r="58" spans="2:10" s="11" customFormat="1">
      <c r="B58" s="153" t="s">
        <v>172</v>
      </c>
      <c r="C58" s="153"/>
      <c r="D58" s="153"/>
      <c r="E58" s="153"/>
      <c r="F58" s="153"/>
      <c r="G58" s="153"/>
      <c r="H58" s="153"/>
      <c r="I58" s="153"/>
      <c r="J58" s="153"/>
    </row>
    <row r="59" spans="2:10" s="11" customFormat="1">
      <c r="B59" s="35"/>
      <c r="C59" s="35"/>
      <c r="D59" s="35"/>
      <c r="E59" s="35"/>
      <c r="F59" s="35"/>
      <c r="G59" s="35"/>
      <c r="H59" s="35"/>
      <c r="I59" s="35"/>
      <c r="J59" s="35"/>
    </row>
    <row r="60" spans="2:10" s="11" customFormat="1">
      <c r="B60" s="29" t="s">
        <v>173</v>
      </c>
    </row>
    <row r="83" spans="2:13" ht="21.5" thickBot="1">
      <c r="B83" s="2" t="s">
        <v>112</v>
      </c>
      <c r="C83" s="2" t="s">
        <v>113</v>
      </c>
      <c r="D83" s="2" t="s">
        <v>31</v>
      </c>
      <c r="E83" s="2" t="s">
        <v>13</v>
      </c>
      <c r="F83" s="2" t="s">
        <v>114</v>
      </c>
      <c r="G83" s="2" t="s">
        <v>271</v>
      </c>
      <c r="H83" s="2" t="s">
        <v>11</v>
      </c>
      <c r="I83" s="2" t="s">
        <v>15</v>
      </c>
      <c r="J83" s="2" t="s">
        <v>115</v>
      </c>
      <c r="K83" s="2" t="s">
        <v>333</v>
      </c>
      <c r="L83" s="2" t="s">
        <v>116</v>
      </c>
      <c r="M83" s="2" t="s">
        <v>67</v>
      </c>
    </row>
    <row r="84" spans="2:13" ht="15" thickBot="1">
      <c r="B84" s="3" t="s">
        <v>117</v>
      </c>
      <c r="C84" s="43">
        <f>C85+C86</f>
        <v>0</v>
      </c>
      <c r="D84" s="44">
        <f t="shared" ref="D84:L84" si="0">D85+D86</f>
        <v>208</v>
      </c>
      <c r="E84" s="43">
        <f t="shared" si="0"/>
        <v>178</v>
      </c>
      <c r="F84" s="44">
        <f t="shared" si="0"/>
        <v>0</v>
      </c>
      <c r="G84" s="43">
        <f t="shared" si="0"/>
        <v>0.2646</v>
      </c>
      <c r="H84" s="44">
        <f t="shared" si="0"/>
        <v>308</v>
      </c>
      <c r="I84" s="43">
        <f t="shared" si="0"/>
        <v>2286.8000000000002</v>
      </c>
      <c r="J84" s="44">
        <f t="shared" si="0"/>
        <v>4.9359999999999999</v>
      </c>
      <c r="K84" s="43">
        <f t="shared" si="0"/>
        <v>0</v>
      </c>
      <c r="L84" s="43">
        <f t="shared" si="0"/>
        <v>0</v>
      </c>
      <c r="M84" s="44">
        <f t="shared" ref="M84:M89" si="1">SUM(C84:L84)</f>
        <v>2986.0006000000003</v>
      </c>
    </row>
    <row r="85" spans="2:13" ht="15" thickBot="1">
      <c r="B85" s="3" t="s">
        <v>45</v>
      </c>
      <c r="C85" s="43">
        <f>SUMIFS(existingstable[Nameplate Capacity (MW)],existingstable[summary_status],'Tasmania Summary'!$B85,existingstable[summary_bucket],'Tasmania Summary'!C$83) + SUMIFS(existingnstable[Nameplate Capacity (MW)],existingnstable[summary_status],'Tasmania Summary'!$B85,existingnstable[summary_bucket],'Tasmania Summary'!C$83)</f>
        <v>0</v>
      </c>
      <c r="D85" s="44">
        <f>SUMIFS(existingstable[Nameplate Capacity (MW)],existingstable[summary_status],'Tasmania Summary'!$B85,existingstable[summary_bucket],'Tasmania Summary'!D$83) + SUMIFS(existingnstable[Nameplate Capacity (MW)],existingnstable[summary_status],'Tasmania Summary'!$B85,existingnstable[summary_bucket],'Tasmania Summary'!D$83)</f>
        <v>208</v>
      </c>
      <c r="E85" s="43">
        <f>SUMIFS(existingstable[Nameplate Capacity (MW)],existingstable[summary_status],'Tasmania Summary'!$B85,existingstable[summary_bucket],'Tasmania Summary'!E$83) + SUMIFS(existingnstable[Nameplate Capacity (MW)],existingnstable[summary_status],'Tasmania Summary'!$B85,existingnstable[summary_bucket],'Tasmania Summary'!E$83)</f>
        <v>0</v>
      </c>
      <c r="F85" s="44">
        <f>SUMIFS(existingstable[Nameplate Capacity (MW)],existingstable[summary_status],'Tasmania Summary'!$B85,existingstable[summary_bucket],'Tasmania Summary'!F$83) + SUMIFS(existingnstable[Nameplate Capacity (MW)],existingnstable[summary_status],'Tasmania Summary'!$B85,existingnstable[summary_bucket],'Tasmania Summary'!F$83)</f>
        <v>0</v>
      </c>
      <c r="G85" s="43">
        <f>SUMIFS(existingstable[Nameplate Capacity (MW)],existingstable[summary_status],'Tasmania Summary'!$B85,existingstable[summary_bucket],'Tasmania Summary'!G$83) + SUMIFS(existingnstable[Nameplate Capacity (MW)],existingnstable[summary_status],'Tasmania Summary'!$B85,existingnstable[summary_bucket],'Tasmania Summary'!G$83)</f>
        <v>0</v>
      </c>
      <c r="H85" s="44">
        <f>SUMIFS(existingstable[Nameplate Capacity (MW)],existingstable[summary_status],'Tasmania Summary'!$B85,existingstable[summary_bucket],'Tasmania Summary'!H$83) + SUMIFS(existingnstable[Nameplate Capacity (MW)],existingnstable[summary_status],'Tasmania Summary'!$B85,existingnstable[summary_bucket],'Tasmania Summary'!H$83)</f>
        <v>0</v>
      </c>
      <c r="I85" s="43">
        <f>SUMIFS(existingstable[Nameplate Capacity (MW)],existingstable[summary_status],'Tasmania Summary'!$B85,existingstable[summary_bucket],'Tasmania Summary'!I$83) + SUMIFS(existingnstable[Nameplate Capacity (MW)],existingnstable[summary_status],'Tasmania Summary'!$B85,existingnstable[summary_bucket],'Tasmania Summary'!I$83)</f>
        <v>0</v>
      </c>
      <c r="J85" s="44">
        <f>SUMIFS(existingstable[Nameplate Capacity (MW)],existingstable[summary_status],'Tasmania Summary'!$B85,existingstable[summary_bucket],'Tasmania Summary'!J$83) + SUMIFS(existingnstable[Nameplate Capacity (MW)],existingnstable[summary_status],'Tasmania Summary'!$B85,existingnstable[summary_bucket],'Tasmania Summary'!J$83)</f>
        <v>0</v>
      </c>
      <c r="K85" s="43">
        <f>SUMIFS(existingstable[Nameplate Capacity (MW)],existingstable[summary_status],'Tasmania Summary'!$B85,existingstable[summary_bucket],'Tasmania Summary'!K$83) + SUMIFS(existingnstable[Nameplate Capacity (MW)],existingnstable[summary_status],'Tasmania Summary'!$B85,existingnstable[summary_bucket],'Tasmania Summary'!K$83)</f>
        <v>0</v>
      </c>
      <c r="L85" s="43">
        <f>SUMIFS(existingstable[Nameplate Capacity (MW)],existingstable[summary_status],'Tasmania Summary'!$B85,existingstable[summary_bucket],'Tasmania Summary'!L$83) + SUMIFS(existingnstable[Nameplate Capacity (MW)],existingnstable[summary_status],'Tasmania Summary'!$B85,existingnstable[summary_bucket],'Tasmania Summary'!L$83)</f>
        <v>0</v>
      </c>
      <c r="M85" s="44">
        <f t="shared" si="1"/>
        <v>208</v>
      </c>
    </row>
    <row r="86" spans="2:13" ht="15" thickBot="1">
      <c r="B86" s="3" t="s">
        <v>118</v>
      </c>
      <c r="C86" s="43">
        <f>SUMIFS(existingstable[Nameplate Capacity (MW)],existingstable[summary_status],'Tasmania Summary'!$B86,existingstable[summary_bucket],'Tasmania Summary'!C$83) + SUMIFS(existingnstable[Nameplate Capacity (MW)],existingnstable[summary_status],'Tasmania Summary'!$B86,existingnstable[summary_bucket],'Tasmania Summary'!C$83)</f>
        <v>0</v>
      </c>
      <c r="D86" s="44">
        <f>SUMIFS(existingstable[Nameplate Capacity (MW)],existingstable[summary_status],'Tasmania Summary'!$B86,existingstable[summary_bucket],'Tasmania Summary'!D$83) + SUMIFS(existingnstable[Nameplate Capacity (MW)],existingnstable[summary_status],'Tasmania Summary'!$B86,existingnstable[summary_bucket],'Tasmania Summary'!D$83)</f>
        <v>0</v>
      </c>
      <c r="E86" s="43">
        <f>SUMIFS(existingstable[Nameplate Capacity (MW)],existingstable[summary_status],'Tasmania Summary'!$B86,existingstable[summary_bucket],'Tasmania Summary'!E$83) + SUMIFS(existingnstable[Nameplate Capacity (MW)],existingnstable[summary_status],'Tasmania Summary'!$B86,existingnstable[summary_bucket],'Tasmania Summary'!E$83)</f>
        <v>178</v>
      </c>
      <c r="F86" s="44">
        <f>SUMIFS(existingstable[Nameplate Capacity (MW)],existingstable[summary_status],'Tasmania Summary'!$B86,existingstable[summary_bucket],'Tasmania Summary'!F$83) + SUMIFS(existingnstable[Nameplate Capacity (MW)],existingnstable[summary_status],'Tasmania Summary'!$B86,existingnstable[summary_bucket],'Tasmania Summary'!F$83)</f>
        <v>0</v>
      </c>
      <c r="G86" s="43">
        <f>SUMIFS(existingstable[Nameplate Capacity (MW)],existingstable[summary_status],'Tasmania Summary'!$B86,existingstable[summary_bucket],'Tasmania Summary'!G$83) + SUMIFS(existingnstable[Nameplate Capacity (MW)],existingnstable[summary_status],'Tasmania Summary'!$B86,existingnstable[summary_bucket],'Tasmania Summary'!G$83)</f>
        <v>0.2646</v>
      </c>
      <c r="H86" s="44">
        <f>SUMIFS(existingstable[Nameplate Capacity (MW)],existingstable[summary_status],'Tasmania Summary'!$B86,existingstable[summary_bucket],'Tasmania Summary'!H$83) + SUMIFS(existingnstable[Nameplate Capacity (MW)],existingnstable[summary_status],'Tasmania Summary'!$B86,existingnstable[summary_bucket],'Tasmania Summary'!H$83)</f>
        <v>308</v>
      </c>
      <c r="I86" s="43">
        <f>SUMIFS(existingstable[Nameplate Capacity (MW)],existingstable[summary_status],'Tasmania Summary'!$B86,existingstable[summary_bucket],'Tasmania Summary'!I$83) + SUMIFS(existingnstable[Nameplate Capacity (MW)],existingnstable[summary_status],'Tasmania Summary'!$B86,existingnstable[summary_bucket],'Tasmania Summary'!I$83)</f>
        <v>2286.8000000000002</v>
      </c>
      <c r="J86" s="44">
        <f>SUMIFS(existingstable[Nameplate Capacity (MW)],existingstable[summary_status],'Tasmania Summary'!$B86,existingstable[summary_bucket],'Tasmania Summary'!J$83) + SUMIFS(existingnstable[Nameplate Capacity (MW)],existingnstable[summary_status],'Tasmania Summary'!$B86,existingnstable[summary_bucket],'Tasmania Summary'!J$83)</f>
        <v>4.9359999999999999</v>
      </c>
      <c r="K86" s="43">
        <f>SUMIFS(existingstable[Nameplate Capacity (MW)],existingstable[summary_status],'Tasmania Summary'!$B86,existingstable[summary_bucket],'Tasmania Summary'!K$83) + SUMIFS(existingnstable[Nameplate Capacity (MW)],existingnstable[summary_status],'Tasmania Summary'!$B86,existingnstable[summary_bucket],'Tasmania Summary'!K$83)</f>
        <v>0</v>
      </c>
      <c r="L86" s="43">
        <f>SUMIFS(existingstable[Nameplate Capacity (MW)],existingstable[summary_status],'Tasmania Summary'!$B86,existingstable[summary_bucket],'Tasmania Summary'!L$83) + SUMIFS(existingnstable[Nameplate Capacity (MW)],existingnstable[summary_status],'Tasmania Summary'!$B86,existingnstable[summary_bucket],'Tasmania Summary'!L$83)</f>
        <v>0</v>
      </c>
      <c r="M86" s="44">
        <f t="shared" si="1"/>
        <v>2778.0006000000003</v>
      </c>
    </row>
    <row r="87" spans="2:13" ht="15" thickBot="1">
      <c r="B87" s="3" t="s">
        <v>119</v>
      </c>
      <c r="C87" s="43">
        <f>SUMIFS(newdevtable[nameplatecapacity_mw_max],newdevtable[summary_status],'Tasmania Summary'!$B87,newdevtable[summary_bucket],'Tasmania Summary'!C$83)</f>
        <v>0</v>
      </c>
      <c r="D87" s="44">
        <f>SUMIFS(newdevtable[nameplatecapacity_mw_max],newdevtable[summary_status],'Tasmania Summary'!$B87,newdevtable[summary_bucket],'Tasmania Summary'!D$83)</f>
        <v>0</v>
      </c>
      <c r="E87" s="43">
        <f>SUMIFS(newdevtable[nameplatecapacity_mw_max],newdevtable[summary_status],'Tasmania Summary'!$B87,newdevtable[summary_bucket],'Tasmania Summary'!E$83)</f>
        <v>0</v>
      </c>
      <c r="F87" s="44">
        <f>SUMIFS(newdevtable[nameplatecapacity_mw_max],newdevtable[summary_status],'Tasmania Summary'!$B87,newdevtable[summary_bucket],'Tasmania Summary'!F$83)</f>
        <v>0</v>
      </c>
      <c r="G87" s="43">
        <f>SUMIFS(newdevtable[nameplatecapacity_mw_max],newdevtable[summary_status],'Tasmania Summary'!$B87,newdevtable[summary_bucket],'Tasmania Summary'!G$83)</f>
        <v>0</v>
      </c>
      <c r="H87" s="44">
        <f>SUMIFS(newdevtable[nameplatecapacity_mw_max],newdevtable[summary_status],'Tasmania Summary'!$B87,newdevtable[summary_bucket],'Tasmania Summary'!H$83)</f>
        <v>255.6</v>
      </c>
      <c r="I87" s="43">
        <f>SUMIFS(newdevtable[nameplatecapacity_mw_max],newdevtable[summary_status],'Tasmania Summary'!$B87,newdevtable[summary_bucket],'Tasmania Summary'!I$83)</f>
        <v>0</v>
      </c>
      <c r="J87" s="44">
        <f>SUMIFS(newdevtable[nameplatecapacity_mw_max],newdevtable[summary_status],'Tasmania Summary'!$B87,newdevtable[summary_bucket],'Tasmania Summary'!J$83)</f>
        <v>0</v>
      </c>
      <c r="K87" s="43">
        <f>SUMIFS(newdevtable[nameplatecapacity_mw_max],newdevtable[summary_status],'Tasmania Summary'!$B87,newdevtable[summary_bucket],'Tasmania Summary'!K$83)</f>
        <v>0</v>
      </c>
      <c r="L87" s="43">
        <f>SUMIFS(newdevtable[nameplatecapacity_mw_max],newdevtable[summary_status],'Tasmania Summary'!$B87,newdevtable[summary_bucket],'Tasmania Summary'!L$83)</f>
        <v>0</v>
      </c>
      <c r="M87" s="44">
        <f t="shared" si="1"/>
        <v>255.6</v>
      </c>
    </row>
    <row r="88" spans="2:13" ht="15" thickBot="1">
      <c r="B88" s="3" t="s">
        <v>120</v>
      </c>
      <c r="C88" s="43">
        <f>SUMIFS(newdevtable[nameplatecapacity_mw_max],newdevtable[summary_status],'Tasmania Summary'!$B88,newdevtable[summary_bucket],'Tasmania Summary'!C$83)</f>
        <v>0</v>
      </c>
      <c r="D88" s="44">
        <f>SUMIFS(newdevtable[nameplatecapacity_mw_max],newdevtable[summary_status],'Tasmania Summary'!$B88,newdevtable[summary_bucket],'Tasmania Summary'!D$83)</f>
        <v>0</v>
      </c>
      <c r="E88" s="43">
        <f>SUMIFS(newdevtable[nameplatecapacity_mw_max],newdevtable[summary_status],'Tasmania Summary'!$B88,newdevtable[summary_bucket],'Tasmania Summary'!E$83)</f>
        <v>0</v>
      </c>
      <c r="F88" s="44">
        <f>SUMIFS(newdevtable[nameplatecapacity_mw_max],newdevtable[summary_status],'Tasmania Summary'!$B88,newdevtable[summary_bucket],'Tasmania Summary'!F$83)</f>
        <v>0</v>
      </c>
      <c r="G88" s="43">
        <f>SUMIFS(newdevtable[nameplatecapacity_mw_max],newdevtable[summary_status],'Tasmania Summary'!$B88,newdevtable[summary_bucket],'Tasmania Summary'!G$83)</f>
        <v>17.5</v>
      </c>
      <c r="H88" s="44">
        <f>SUMIFS(newdevtable[nameplatecapacity_mw_max],newdevtable[summary_status],'Tasmania Summary'!$B88,newdevtable[summary_bucket],'Tasmania Summary'!H$83)</f>
        <v>1102</v>
      </c>
      <c r="I88" s="43">
        <f>SUMIFS(newdevtable[nameplatecapacity_mw_max],newdevtable[summary_status],'Tasmania Summary'!$B88,newdevtable[summary_bucket],'Tasmania Summary'!I$83)</f>
        <v>2310</v>
      </c>
      <c r="J88" s="44">
        <f>SUMIFS(newdevtable[nameplatecapacity_mw_max],newdevtable[summary_status],'Tasmania Summary'!$B88,newdevtable[summary_bucket],'Tasmania Summary'!J$83)</f>
        <v>0</v>
      </c>
      <c r="K88" s="43">
        <f>SUMIFS(newdevtable[nameplatecapacity_mw_max],newdevtable[summary_status],'Tasmania Summary'!$B88,newdevtable[summary_bucket],'Tasmania Summary'!K$83)</f>
        <v>0</v>
      </c>
      <c r="L88" s="43">
        <f>SUMIFS(newdevtable[nameplatecapacity_mw_max],newdevtable[summary_status],'Tasmania Summary'!$B88,newdevtable[summary_bucket],'Tasmania Summary'!L$83)</f>
        <v>0</v>
      </c>
      <c r="M88" s="44">
        <f>SUM(C88:L88)</f>
        <v>3429.5</v>
      </c>
    </row>
    <row r="89" spans="2:13" ht="15" thickBot="1">
      <c r="B89" s="3" t="s">
        <v>121</v>
      </c>
      <c r="C89" s="43">
        <f>SUMIFS(existingstable[Nameplate Capacity (MW)],existingstable[summary_status],'Tasmania Summary'!$B89,existingstable[summary_bucket],'Tasmania Summary'!C$83) + SUMIFS(existingnstable[Nameplate Capacity (MW)],existingnstable[summary_status],'Tasmania Summary'!$B89,existingnstable[summary_bucket],'Tasmania Summary'!C$83)</f>
        <v>0</v>
      </c>
      <c r="D89" s="44">
        <f>SUMIFS(existingstable[Nameplate Capacity (MW)],existingstable[summary_status],'Tasmania Summary'!$B89,existingstable[summary_bucket],'Tasmania Summary'!D$83) + SUMIFS(existingnstable[Nameplate Capacity (MW)],existingnstable[summary_status],'Tasmania Summary'!$B89,existingnstable[summary_bucket],'Tasmania Summary'!D$83)</f>
        <v>0</v>
      </c>
      <c r="E89" s="43">
        <f>SUMIFS(existingstable[Nameplate Capacity (MW)],existingstable[summary_status],'Tasmania Summary'!$B89,existingstable[summary_bucket],'Tasmania Summary'!E$83) + SUMIFS(existingnstable[Nameplate Capacity (MW)],existingnstable[summary_status],'Tasmania Summary'!$B89,existingnstable[summary_bucket],'Tasmania Summary'!E$83)</f>
        <v>0</v>
      </c>
      <c r="F89" s="44">
        <f>SUMIFS(existingstable[Nameplate Capacity (MW)],existingstable[summary_status],'Tasmania Summary'!$B89,existingstable[summary_bucket],'Tasmania Summary'!F$83) + SUMIFS(existingnstable[Nameplate Capacity (MW)],existingnstable[summary_status],'Tasmania Summary'!$B89,existingnstable[summary_bucket],'Tasmania Summary'!F$83)</f>
        <v>0</v>
      </c>
      <c r="G89" s="43">
        <f>SUMIFS(existingstable[Nameplate Capacity (MW)],existingstable[summary_status],'Tasmania Summary'!$B89,existingstable[summary_bucket],'Tasmania Summary'!G$83) + SUMIFS(existingnstable[Nameplate Capacity (MW)],existingnstable[summary_status],'Tasmania Summary'!$B89,existingnstable[summary_bucket],'Tasmania Summary'!G$83)</f>
        <v>0</v>
      </c>
      <c r="H89" s="44">
        <f>SUMIFS(existingstable[Nameplate Capacity (MW)],existingstable[summary_status],'Tasmania Summary'!$B89,existingstable[summary_bucket],'Tasmania Summary'!H$83) + SUMIFS(existingnstable[Nameplate Capacity (MW)],existingnstable[summary_status],'Tasmania Summary'!$B89,existingnstable[summary_bucket],'Tasmania Summary'!H$83)</f>
        <v>0</v>
      </c>
      <c r="I89" s="43">
        <f>SUMIFS(existingstable[Nameplate Capacity (MW)],existingstable[summary_status],'Tasmania Summary'!$B89,existingstable[summary_bucket],'Tasmania Summary'!I$83) + SUMIFS(existingnstable[Nameplate Capacity (MW)],existingnstable[summary_status],'Tasmania Summary'!$B89,existingnstable[summary_bucket],'Tasmania Summary'!I$83)</f>
        <v>0</v>
      </c>
      <c r="J89" s="44">
        <f>SUMIFS(existingstable[Nameplate Capacity (MW)],existingstable[summary_status],'Tasmania Summary'!$B89,existingstable[summary_bucket],'Tasmania Summary'!J$83) + SUMIFS(existingnstable[Nameplate Capacity (MW)],existingnstable[summary_status],'Tasmania Summary'!$B89,existingnstable[summary_bucket],'Tasmania Summary'!J$83)</f>
        <v>0</v>
      </c>
      <c r="K89" s="43">
        <f>SUMIFS(existingstable[Nameplate Capacity (MW)],existingstable[summary_status],'Tasmania Summary'!$B89,existingstable[summary_bucket],'Tasmania Summary'!K$83) + SUMIFS(existingnstable[Nameplate Capacity (MW)],existingnstable[summary_status],'Tasmania Summary'!$B89,existingnstable[summary_bucket],'Tasmania Summary'!K$83)</f>
        <v>0</v>
      </c>
      <c r="L89" s="43">
        <f>SUMIFS(existingstable[Nameplate Capacity (MW)],existingstable[summary_status],'Tasmania Summary'!$B89,existingstable[summary_bucket],'Tasmania Summary'!L$83) + SUMIFS(existingnstable[Nameplate Capacity (MW)],existingnstable[summary_status],'Tasmania Summary'!$B89,existingnstable[summary_bucket],'Tasmania Summary'!L$83)</f>
        <v>0</v>
      </c>
      <c r="M89" s="44">
        <f t="shared" si="1"/>
        <v>0</v>
      </c>
    </row>
    <row r="90" spans="2:13">
      <c r="B90" s="151" t="s">
        <v>122</v>
      </c>
      <c r="C90" s="152"/>
      <c r="D90" s="152"/>
      <c r="E90" s="152"/>
      <c r="F90" s="152"/>
      <c r="G90" s="152"/>
      <c r="H90" s="152"/>
      <c r="I90" s="152"/>
      <c r="J90" s="152"/>
      <c r="K90" s="152"/>
      <c r="L90" s="152"/>
    </row>
    <row r="91" spans="2:13">
      <c r="B91" s="151" t="s">
        <v>270</v>
      </c>
      <c r="C91" s="152"/>
      <c r="D91" s="152"/>
      <c r="E91" s="152"/>
      <c r="F91" s="152"/>
      <c r="G91" s="152"/>
      <c r="H91" s="152"/>
      <c r="I91" s="152"/>
      <c r="J91" s="152"/>
      <c r="K91" s="152"/>
    </row>
    <row r="92" spans="2:13">
      <c r="B92" s="150"/>
      <c r="C92" s="150"/>
      <c r="D92" s="150"/>
      <c r="E92" s="150"/>
      <c r="F92" s="150"/>
      <c r="G92" s="150"/>
      <c r="H92" s="150"/>
      <c r="I92" s="150"/>
      <c r="J92" s="150"/>
      <c r="K92" s="150"/>
      <c r="L92" s="150"/>
      <c r="M92" s="150"/>
    </row>
    <row r="93" spans="2:13">
      <c r="B93" s="150"/>
      <c r="C93" s="150"/>
      <c r="D93" s="150"/>
      <c r="E93" s="150"/>
      <c r="F93" s="150"/>
      <c r="G93" s="150"/>
      <c r="H93" s="150"/>
      <c r="I93" s="150"/>
      <c r="J93" s="150"/>
      <c r="K93" s="150"/>
      <c r="L93" s="150"/>
      <c r="M93" s="143"/>
    </row>
  </sheetData>
  <mergeCells count="21">
    <mergeCell ref="B5:H5"/>
    <mergeCell ref="B14:E14"/>
    <mergeCell ref="B16:J16"/>
    <mergeCell ref="B19:J19"/>
    <mergeCell ref="B50:J50"/>
    <mergeCell ref="B12:K12"/>
    <mergeCell ref="B23:J23"/>
    <mergeCell ref="B22:J22"/>
    <mergeCell ref="B30:J30"/>
    <mergeCell ref="B37:J37"/>
    <mergeCell ref="B38:J38"/>
    <mergeCell ref="B45:J45"/>
    <mergeCell ref="B46:J46"/>
    <mergeCell ref="B47:J47"/>
    <mergeCell ref="B48:J48"/>
    <mergeCell ref="B49:J49"/>
    <mergeCell ref="B92:M92"/>
    <mergeCell ref="B93:L93"/>
    <mergeCell ref="B91:K91"/>
    <mergeCell ref="B58:J58"/>
    <mergeCell ref="B90:L90"/>
  </mergeCells>
  <hyperlinks>
    <hyperlink ref="B5:H5" r:id="rId1" display="http://www.aemo.com.au/Electricity/National-Electricity-Market-NEM/Planning-and-forecasting/Generation-information"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Q88"/>
  <sheetViews>
    <sheetView showGridLines="0" workbookViewId="0"/>
  </sheetViews>
  <sheetFormatPr defaultColWidth="9.1796875" defaultRowHeight="14.5"/>
  <cols>
    <col min="1" max="1" width="4.7265625" style="11" customWidth="1"/>
    <col min="2" max="10" width="9.1796875" style="11"/>
    <col min="11" max="11" width="15" style="11" customWidth="1"/>
    <col min="12" max="16384" width="9.1796875" style="11"/>
  </cols>
  <sheetData>
    <row r="1" spans="2:11" ht="19.5" thickBot="1">
      <c r="B1" s="1" t="s">
        <v>174</v>
      </c>
    </row>
    <row r="2" spans="2:11">
      <c r="B2" s="45" t="s">
        <v>175</v>
      </c>
      <c r="C2" s="30"/>
      <c r="D2" s="30"/>
      <c r="E2" s="30"/>
      <c r="F2" s="30"/>
      <c r="G2" s="30"/>
      <c r="H2" s="30"/>
      <c r="I2" s="30"/>
      <c r="J2" s="30"/>
      <c r="K2" s="30"/>
    </row>
    <row r="3" spans="2:11">
      <c r="B3" s="30"/>
      <c r="C3" s="30"/>
      <c r="D3" s="30"/>
      <c r="E3" s="30"/>
      <c r="F3" s="30"/>
      <c r="G3" s="30"/>
      <c r="H3" s="30"/>
      <c r="I3" s="30"/>
      <c r="J3" s="30"/>
      <c r="K3" s="30"/>
    </row>
    <row r="4" spans="2:11">
      <c r="B4" s="29" t="s">
        <v>176</v>
      </c>
      <c r="C4" s="30"/>
      <c r="D4" s="46">
        <v>41263</v>
      </c>
      <c r="E4" s="47"/>
      <c r="F4" s="47"/>
      <c r="G4" s="47"/>
      <c r="H4" s="47"/>
      <c r="I4" s="47"/>
      <c r="J4" s="47"/>
      <c r="K4" s="47"/>
    </row>
    <row r="5" spans="2:11" ht="26.25" customHeight="1">
      <c r="B5" s="170" t="s">
        <v>177</v>
      </c>
      <c r="C5" s="170"/>
      <c r="D5" s="170"/>
      <c r="E5" s="170"/>
      <c r="F5" s="170"/>
      <c r="G5" s="170"/>
      <c r="H5" s="170"/>
      <c r="I5" s="170"/>
      <c r="J5" s="170"/>
      <c r="K5" s="170"/>
    </row>
    <row r="6" spans="2:11">
      <c r="B6" s="48"/>
      <c r="C6" s="48"/>
      <c r="D6" s="48"/>
      <c r="E6" s="48"/>
      <c r="F6" s="48"/>
      <c r="G6" s="48"/>
      <c r="H6" s="48"/>
      <c r="I6" s="48"/>
      <c r="J6" s="48"/>
      <c r="K6" s="48"/>
    </row>
    <row r="7" spans="2:11">
      <c r="B7" s="29" t="s">
        <v>176</v>
      </c>
      <c r="C7" s="30"/>
      <c r="D7" s="49">
        <v>41327</v>
      </c>
      <c r="E7" s="48"/>
      <c r="F7" s="48"/>
      <c r="G7" s="48"/>
      <c r="H7" s="48"/>
      <c r="I7" s="48"/>
      <c r="J7" s="48"/>
      <c r="K7" s="48"/>
    </row>
    <row r="8" spans="2:11" ht="28.5" customHeight="1">
      <c r="B8" s="167" t="s">
        <v>178</v>
      </c>
      <c r="C8" s="167"/>
      <c r="D8" s="167"/>
      <c r="E8" s="167"/>
      <c r="F8" s="167"/>
      <c r="G8" s="167"/>
      <c r="H8" s="167"/>
      <c r="I8" s="167"/>
      <c r="J8" s="167"/>
      <c r="K8" s="167"/>
    </row>
    <row r="9" spans="2:11" ht="28.5" customHeight="1">
      <c r="B9" s="167" t="s">
        <v>179</v>
      </c>
      <c r="C9" s="167"/>
      <c r="D9" s="167"/>
      <c r="E9" s="167"/>
      <c r="F9" s="167"/>
      <c r="G9" s="167"/>
      <c r="H9" s="167"/>
      <c r="I9" s="167"/>
      <c r="J9" s="167"/>
      <c r="K9" s="167"/>
    </row>
    <row r="10" spans="2:11">
      <c r="B10" s="167"/>
      <c r="C10" s="167"/>
      <c r="D10" s="167"/>
      <c r="E10" s="167"/>
      <c r="F10" s="167"/>
      <c r="G10" s="167"/>
      <c r="H10" s="167"/>
      <c r="I10" s="167"/>
      <c r="J10" s="167"/>
      <c r="K10" s="167"/>
    </row>
    <row r="11" spans="2:11">
      <c r="B11" s="29" t="s">
        <v>176</v>
      </c>
      <c r="C11" s="30"/>
      <c r="D11" s="46">
        <v>41455</v>
      </c>
      <c r="E11" s="47"/>
      <c r="F11" s="47"/>
      <c r="G11" s="47"/>
      <c r="H11" s="47"/>
      <c r="I11" s="47"/>
      <c r="J11" s="47"/>
      <c r="K11" s="47"/>
    </row>
    <row r="12" spans="2:11" ht="30" customHeight="1">
      <c r="B12" s="170" t="s">
        <v>180</v>
      </c>
      <c r="C12" s="170"/>
      <c r="D12" s="170"/>
      <c r="E12" s="170"/>
      <c r="F12" s="170"/>
      <c r="G12" s="170"/>
      <c r="H12" s="170"/>
      <c r="I12" s="170"/>
      <c r="J12" s="170"/>
      <c r="K12" s="170"/>
    </row>
    <row r="13" spans="2:11" ht="24.75" customHeight="1">
      <c r="B13" s="170" t="s">
        <v>181</v>
      </c>
      <c r="C13" s="170"/>
      <c r="D13" s="170"/>
      <c r="E13" s="170"/>
      <c r="F13" s="170"/>
      <c r="G13" s="170"/>
      <c r="H13" s="170"/>
      <c r="I13" s="170"/>
      <c r="J13" s="170"/>
      <c r="K13" s="170"/>
    </row>
    <row r="14" spans="2:11" ht="13.5" customHeight="1">
      <c r="B14" s="167"/>
      <c r="C14" s="167"/>
      <c r="D14" s="167"/>
      <c r="E14" s="167"/>
      <c r="F14" s="167"/>
      <c r="G14" s="167"/>
      <c r="H14" s="167"/>
      <c r="I14" s="167"/>
      <c r="J14" s="167"/>
      <c r="K14" s="167"/>
    </row>
    <row r="15" spans="2:11">
      <c r="B15" s="29" t="s">
        <v>176</v>
      </c>
      <c r="C15" s="30"/>
      <c r="D15" s="46">
        <v>41593</v>
      </c>
      <c r="E15" s="47"/>
      <c r="F15" s="47"/>
      <c r="G15" s="47"/>
      <c r="H15" s="47"/>
      <c r="I15" s="47"/>
      <c r="J15" s="47"/>
      <c r="K15" s="47"/>
    </row>
    <row r="16" spans="2:11" ht="24" customHeight="1">
      <c r="B16" s="167" t="s">
        <v>182</v>
      </c>
      <c r="C16" s="167"/>
      <c r="D16" s="167"/>
      <c r="E16" s="167"/>
      <c r="F16" s="167"/>
      <c r="G16" s="167"/>
      <c r="H16" s="167"/>
      <c r="I16" s="167"/>
      <c r="J16" s="167"/>
      <c r="K16" s="167"/>
    </row>
    <row r="17" spans="2:11">
      <c r="B17" s="170" t="s">
        <v>319</v>
      </c>
      <c r="C17" s="170"/>
      <c r="D17" s="170"/>
      <c r="E17" s="170"/>
      <c r="F17" s="170"/>
      <c r="G17" s="170"/>
      <c r="H17" s="170"/>
      <c r="I17" s="170"/>
      <c r="J17" s="170"/>
      <c r="K17" s="170"/>
    </row>
    <row r="18" spans="2:11">
      <c r="B18" s="167"/>
      <c r="C18" s="167"/>
      <c r="D18" s="167"/>
      <c r="E18" s="167"/>
      <c r="F18" s="167"/>
      <c r="G18" s="167"/>
      <c r="H18" s="167"/>
      <c r="I18" s="167"/>
      <c r="J18" s="167"/>
      <c r="K18" s="167"/>
    </row>
    <row r="19" spans="2:11">
      <c r="B19" s="29" t="s">
        <v>176</v>
      </c>
      <c r="C19" s="30"/>
      <c r="D19" s="46">
        <v>41983</v>
      </c>
      <c r="E19" s="29"/>
      <c r="F19" s="29"/>
      <c r="G19" s="29"/>
      <c r="H19" s="29"/>
      <c r="I19" s="167"/>
      <c r="J19" s="167"/>
      <c r="K19" s="167"/>
    </row>
    <row r="20" spans="2:11" ht="39" customHeight="1">
      <c r="B20" s="161" t="s">
        <v>183</v>
      </c>
      <c r="C20" s="161"/>
      <c r="D20" s="161"/>
      <c r="E20" s="161"/>
      <c r="F20" s="161"/>
      <c r="G20" s="161"/>
      <c r="H20" s="161"/>
      <c r="I20" s="161"/>
      <c r="J20" s="161"/>
      <c r="K20" s="161"/>
    </row>
    <row r="21" spans="2:11" ht="39" customHeight="1">
      <c r="B21" s="169" t="s">
        <v>184</v>
      </c>
      <c r="C21" s="169"/>
      <c r="D21" s="169"/>
      <c r="E21" s="169"/>
      <c r="F21" s="169"/>
      <c r="G21" s="169"/>
      <c r="H21" s="169"/>
      <c r="I21" s="169"/>
      <c r="J21" s="169"/>
      <c r="K21" s="169"/>
    </row>
    <row r="22" spans="2:11" ht="49.5" customHeight="1">
      <c r="B22" s="159" t="s">
        <v>185</v>
      </c>
      <c r="C22" s="159"/>
      <c r="D22" s="159"/>
      <c r="E22" s="159"/>
      <c r="F22" s="159"/>
      <c r="G22" s="159"/>
      <c r="H22" s="159"/>
      <c r="I22" s="159"/>
      <c r="J22" s="159"/>
      <c r="K22" s="159"/>
    </row>
    <row r="23" spans="2:11" ht="24.75" customHeight="1">
      <c r="B23" s="169" t="s">
        <v>164</v>
      </c>
      <c r="C23" s="169"/>
      <c r="D23" s="169"/>
      <c r="E23" s="169"/>
      <c r="F23" s="169"/>
      <c r="G23" s="169"/>
      <c r="H23" s="169"/>
      <c r="I23" s="169"/>
      <c r="J23" s="169"/>
      <c r="K23" s="169"/>
    </row>
    <row r="24" spans="2:11" ht="22.5" customHeight="1">
      <c r="B24" s="159" t="s">
        <v>186</v>
      </c>
      <c r="C24" s="159"/>
      <c r="D24" s="159"/>
      <c r="E24" s="159"/>
      <c r="F24" s="159"/>
      <c r="G24" s="159"/>
      <c r="H24" s="159"/>
      <c r="I24" s="159"/>
      <c r="J24" s="159"/>
      <c r="K24" s="159"/>
    </row>
    <row r="25" spans="2:11" ht="28.5" customHeight="1">
      <c r="B25" s="159" t="s">
        <v>187</v>
      </c>
      <c r="C25" s="159"/>
      <c r="D25" s="159"/>
      <c r="E25" s="159"/>
      <c r="F25" s="159"/>
      <c r="G25" s="159"/>
      <c r="H25" s="159"/>
      <c r="I25" s="159"/>
      <c r="J25" s="159"/>
      <c r="K25" s="159"/>
    </row>
    <row r="26" spans="2:11">
      <c r="B26" s="168" t="s">
        <v>188</v>
      </c>
      <c r="C26" s="168"/>
      <c r="D26" s="168"/>
      <c r="E26" s="168"/>
      <c r="F26" s="168"/>
      <c r="G26" s="168"/>
      <c r="H26" s="168"/>
      <c r="I26" s="168"/>
      <c r="J26" s="168"/>
      <c r="K26" s="168"/>
    </row>
    <row r="27" spans="2:11">
      <c r="B27" s="168" t="s">
        <v>189</v>
      </c>
      <c r="C27" s="168"/>
      <c r="D27" s="168"/>
      <c r="E27" s="168"/>
      <c r="F27" s="168"/>
      <c r="G27" s="168"/>
      <c r="H27" s="168"/>
      <c r="I27" s="168"/>
      <c r="J27" s="168"/>
      <c r="K27" s="168"/>
    </row>
    <row r="28" spans="2:11">
      <c r="B28" s="168" t="s">
        <v>190</v>
      </c>
      <c r="C28" s="168"/>
      <c r="D28" s="168"/>
      <c r="E28" s="168"/>
      <c r="F28" s="168"/>
      <c r="G28" s="168"/>
      <c r="H28" s="168"/>
      <c r="I28" s="168"/>
      <c r="J28" s="168"/>
      <c r="K28" s="168"/>
    </row>
    <row r="29" spans="2:11" ht="27" customHeight="1">
      <c r="B29" s="166" t="s">
        <v>191</v>
      </c>
      <c r="C29" s="166"/>
      <c r="D29" s="166"/>
      <c r="E29" s="166"/>
      <c r="F29" s="166"/>
      <c r="G29" s="166"/>
      <c r="H29" s="166"/>
      <c r="I29" s="166"/>
      <c r="J29" s="166"/>
      <c r="K29" s="166"/>
    </row>
    <row r="30" spans="2:11">
      <c r="B30" s="45"/>
      <c r="C30" s="45"/>
      <c r="D30" s="45"/>
      <c r="E30" s="45"/>
      <c r="F30" s="45"/>
      <c r="G30" s="45"/>
      <c r="H30" s="45"/>
      <c r="I30" s="45"/>
      <c r="J30" s="45"/>
      <c r="K30" s="45"/>
    </row>
    <row r="31" spans="2:11">
      <c r="B31" s="29" t="s">
        <v>176</v>
      </c>
      <c r="C31" s="30"/>
      <c r="D31" s="46">
        <v>42229</v>
      </c>
      <c r="E31" s="45"/>
      <c r="F31" s="45"/>
      <c r="G31" s="45"/>
      <c r="H31" s="45"/>
      <c r="I31" s="45"/>
      <c r="J31" s="45"/>
      <c r="K31" s="45"/>
    </row>
    <row r="32" spans="2:11" ht="36.75" customHeight="1">
      <c r="B32" s="161" t="s">
        <v>192</v>
      </c>
      <c r="C32" s="161"/>
      <c r="D32" s="161"/>
      <c r="E32" s="161"/>
      <c r="F32" s="161"/>
      <c r="G32" s="161"/>
      <c r="H32" s="161"/>
      <c r="I32" s="161"/>
      <c r="J32" s="161"/>
      <c r="K32" s="161"/>
    </row>
    <row r="33" spans="2:11" ht="34.5" customHeight="1">
      <c r="B33" s="161" t="s">
        <v>193</v>
      </c>
      <c r="C33" s="161"/>
      <c r="D33" s="161"/>
      <c r="E33" s="161"/>
      <c r="F33" s="161"/>
      <c r="G33" s="161"/>
      <c r="H33" s="161"/>
      <c r="I33" s="161"/>
      <c r="J33" s="161"/>
      <c r="K33" s="161"/>
    </row>
    <row r="34" spans="2:11" ht="33" customHeight="1">
      <c r="B34" s="161" t="s">
        <v>194</v>
      </c>
      <c r="C34" s="161"/>
      <c r="D34" s="161"/>
      <c r="E34" s="161"/>
      <c r="F34" s="161"/>
      <c r="G34" s="161"/>
      <c r="H34" s="161"/>
      <c r="I34" s="161"/>
      <c r="J34" s="161"/>
      <c r="K34" s="161"/>
    </row>
    <row r="35" spans="2:11">
      <c r="B35" s="167"/>
      <c r="C35" s="167"/>
      <c r="D35" s="167"/>
      <c r="E35" s="167"/>
      <c r="F35" s="167"/>
      <c r="G35" s="167"/>
      <c r="H35" s="167"/>
      <c r="I35" s="167"/>
      <c r="J35" s="167"/>
      <c r="K35" s="167"/>
    </row>
    <row r="36" spans="2:11">
      <c r="B36" s="29" t="s">
        <v>176</v>
      </c>
      <c r="C36" s="50"/>
      <c r="D36" s="51">
        <v>42432</v>
      </c>
      <c r="E36" s="45"/>
      <c r="F36" s="45"/>
      <c r="G36" s="45"/>
      <c r="H36" s="45"/>
      <c r="I36" s="45"/>
      <c r="J36" s="45"/>
      <c r="K36" s="45"/>
    </row>
    <row r="37" spans="2:11" ht="27" customHeight="1">
      <c r="B37" s="161" t="s">
        <v>195</v>
      </c>
      <c r="C37" s="161"/>
      <c r="D37" s="161"/>
      <c r="E37" s="161"/>
      <c r="F37" s="161"/>
      <c r="G37" s="161"/>
      <c r="H37" s="161"/>
      <c r="I37" s="161"/>
      <c r="J37" s="161"/>
      <c r="K37" s="161"/>
    </row>
    <row r="38" spans="2:11" ht="34.5" customHeight="1">
      <c r="B38" s="161" t="s">
        <v>196</v>
      </c>
      <c r="C38" s="161"/>
      <c r="D38" s="161"/>
      <c r="E38" s="161"/>
      <c r="F38" s="161"/>
      <c r="G38" s="161"/>
      <c r="H38" s="161"/>
      <c r="I38" s="161"/>
      <c r="J38" s="161"/>
      <c r="K38" s="161"/>
    </row>
    <row r="39" spans="2:11" ht="33" customHeight="1">
      <c r="B39" s="161" t="s">
        <v>197</v>
      </c>
      <c r="C39" s="161"/>
      <c r="D39" s="161"/>
      <c r="E39" s="161"/>
      <c r="F39" s="161"/>
      <c r="G39" s="161"/>
      <c r="H39" s="161"/>
      <c r="I39" s="161"/>
      <c r="J39" s="161"/>
      <c r="K39" s="161"/>
    </row>
    <row r="40" spans="2:11" ht="20.25" customHeight="1">
      <c r="B40" s="167"/>
      <c r="C40" s="167"/>
      <c r="D40" s="167"/>
      <c r="E40" s="167"/>
      <c r="F40" s="167"/>
      <c r="G40" s="167"/>
      <c r="H40" s="167"/>
      <c r="I40" s="167"/>
      <c r="J40" s="167"/>
      <c r="K40" s="167"/>
    </row>
    <row r="41" spans="2:11">
      <c r="B41" s="29" t="s">
        <v>176</v>
      </c>
      <c r="C41" s="50"/>
      <c r="D41" s="51">
        <v>42475</v>
      </c>
      <c r="E41" s="45"/>
      <c r="F41" s="45"/>
      <c r="G41" s="45"/>
      <c r="H41" s="45"/>
      <c r="I41" s="45"/>
      <c r="J41" s="45"/>
      <c r="K41" s="45"/>
    </row>
    <row r="42" spans="2:11" ht="27.75" customHeight="1">
      <c r="B42" s="161" t="s">
        <v>195</v>
      </c>
      <c r="C42" s="161"/>
      <c r="D42" s="161"/>
      <c r="E42" s="161"/>
      <c r="F42" s="161"/>
      <c r="G42" s="161"/>
      <c r="H42" s="161"/>
      <c r="I42" s="161"/>
      <c r="J42" s="161"/>
      <c r="K42" s="161"/>
    </row>
    <row r="43" spans="2:11" ht="28.5" customHeight="1">
      <c r="B43" s="161" t="s">
        <v>198</v>
      </c>
      <c r="C43" s="161"/>
      <c r="D43" s="161"/>
      <c r="E43" s="161"/>
      <c r="F43" s="161"/>
      <c r="G43" s="161"/>
      <c r="H43" s="161"/>
      <c r="I43" s="161"/>
      <c r="J43" s="161"/>
      <c r="K43" s="161"/>
    </row>
    <row r="44" spans="2:11" ht="34.5" customHeight="1">
      <c r="B44" s="161" t="s">
        <v>197</v>
      </c>
      <c r="C44" s="161"/>
      <c r="D44" s="161"/>
      <c r="E44" s="161"/>
      <c r="F44" s="161"/>
      <c r="G44" s="161"/>
      <c r="H44" s="161"/>
      <c r="I44" s="161"/>
      <c r="J44" s="161"/>
      <c r="K44" s="161"/>
    </row>
    <row r="46" spans="2:11">
      <c r="B46" s="29" t="s">
        <v>176</v>
      </c>
      <c r="C46" s="50"/>
      <c r="D46" s="51">
        <v>42593</v>
      </c>
      <c r="E46" s="45"/>
      <c r="F46" s="45"/>
      <c r="G46" s="45"/>
      <c r="H46" s="45"/>
    </row>
    <row r="47" spans="2:11" ht="25.5" customHeight="1">
      <c r="B47" s="165" t="s">
        <v>199</v>
      </c>
      <c r="C47" s="165"/>
      <c r="D47" s="165"/>
      <c r="E47" s="165"/>
      <c r="F47" s="165"/>
      <c r="G47" s="165"/>
      <c r="H47" s="165"/>
      <c r="I47" s="165"/>
      <c r="J47" s="165"/>
      <c r="K47" s="165"/>
    </row>
    <row r="48" spans="2:11" ht="25.5" customHeight="1">
      <c r="B48" s="165" t="s">
        <v>200</v>
      </c>
      <c r="C48" s="165"/>
      <c r="D48" s="165"/>
      <c r="E48" s="165"/>
      <c r="F48" s="165"/>
      <c r="G48" s="165"/>
      <c r="H48" s="165"/>
      <c r="I48" s="165"/>
      <c r="J48" s="165"/>
      <c r="K48" s="165"/>
    </row>
    <row r="50" spans="2:17">
      <c r="B50" s="29" t="s">
        <v>176</v>
      </c>
      <c r="C50" s="50"/>
      <c r="D50" s="51">
        <v>42692</v>
      </c>
      <c r="E50" s="45"/>
      <c r="F50" s="45"/>
      <c r="G50" s="45"/>
      <c r="H50" s="45"/>
    </row>
    <row r="51" spans="2:17" ht="27.75" customHeight="1">
      <c r="B51" s="165" t="s">
        <v>201</v>
      </c>
      <c r="C51" s="165"/>
      <c r="D51" s="165"/>
      <c r="E51" s="165"/>
      <c r="F51" s="165"/>
      <c r="G51" s="165"/>
      <c r="H51" s="165"/>
      <c r="I51" s="165"/>
      <c r="J51" s="165"/>
      <c r="K51" s="165"/>
      <c r="L51" s="31"/>
      <c r="M51" s="31"/>
      <c r="N51" s="31"/>
      <c r="O51" s="31"/>
      <c r="P51" s="31"/>
      <c r="Q51" s="31"/>
    </row>
    <row r="53" spans="2:17">
      <c r="B53" s="29" t="s">
        <v>176</v>
      </c>
      <c r="C53" s="50"/>
      <c r="D53" s="51">
        <v>42793</v>
      </c>
      <c r="E53" s="45"/>
      <c r="F53" s="45"/>
      <c r="G53" s="45"/>
      <c r="H53" s="45"/>
    </row>
    <row r="54" spans="2:17" ht="36" customHeight="1">
      <c r="B54" s="159" t="s">
        <v>202</v>
      </c>
      <c r="C54" s="159"/>
      <c r="D54" s="159"/>
      <c r="E54" s="159"/>
      <c r="F54" s="159"/>
      <c r="G54" s="159"/>
      <c r="H54" s="159"/>
      <c r="I54" s="159"/>
      <c r="J54" s="159"/>
      <c r="K54" s="159"/>
      <c r="L54" s="31"/>
      <c r="M54" s="31"/>
      <c r="N54" s="31"/>
      <c r="O54" s="31"/>
      <c r="P54" s="31"/>
      <c r="Q54" s="31"/>
    </row>
    <row r="55" spans="2:17">
      <c r="B55" s="29" t="s">
        <v>176</v>
      </c>
      <c r="C55" s="50"/>
      <c r="D55" s="51">
        <v>42891</v>
      </c>
    </row>
    <row r="56" spans="2:17" ht="36" customHeight="1">
      <c r="B56" s="153" t="s">
        <v>145</v>
      </c>
      <c r="C56" s="153"/>
      <c r="D56" s="153"/>
      <c r="E56" s="153"/>
      <c r="F56" s="153"/>
      <c r="G56" s="153"/>
      <c r="H56" s="153"/>
      <c r="I56" s="153"/>
      <c r="J56" s="153"/>
      <c r="K56" s="153"/>
    </row>
    <row r="57" spans="2:17" ht="31.15" customHeight="1">
      <c r="B57" s="164" t="s">
        <v>152</v>
      </c>
      <c r="C57" s="164"/>
      <c r="D57" s="164"/>
      <c r="E57" s="164"/>
      <c r="F57" s="164"/>
      <c r="G57" s="164"/>
      <c r="H57" s="164"/>
      <c r="I57" s="164"/>
      <c r="J57" s="164"/>
      <c r="K57" s="164"/>
    </row>
    <row r="58" spans="2:17">
      <c r="B58" s="41" t="s">
        <v>153</v>
      </c>
      <c r="C58" s="38"/>
      <c r="D58" s="38"/>
      <c r="E58" s="38"/>
      <c r="F58" s="38"/>
      <c r="G58" s="38"/>
      <c r="H58" s="38"/>
      <c r="I58" s="38"/>
      <c r="J58" s="38"/>
      <c r="K58" s="38"/>
    </row>
    <row r="59" spans="2:17">
      <c r="B59" s="40" t="s">
        <v>154</v>
      </c>
      <c r="C59" s="39"/>
      <c r="D59" s="38"/>
      <c r="E59" s="38"/>
      <c r="F59" s="38"/>
      <c r="G59" s="38"/>
      <c r="H59" s="38"/>
      <c r="I59" s="38"/>
      <c r="J59" s="38"/>
      <c r="K59" s="38"/>
    </row>
    <row r="60" spans="2:17">
      <c r="B60" s="41" t="s">
        <v>155</v>
      </c>
      <c r="C60" s="38"/>
      <c r="D60" s="38"/>
      <c r="E60" s="38"/>
      <c r="F60" s="38"/>
      <c r="G60" s="38"/>
      <c r="H60" s="38"/>
      <c r="I60" s="38"/>
      <c r="J60" s="38"/>
      <c r="K60" s="38"/>
    </row>
    <row r="61" spans="2:17">
      <c r="B61" s="40" t="s">
        <v>156</v>
      </c>
      <c r="C61" s="39"/>
      <c r="D61" s="38"/>
      <c r="E61" s="38"/>
      <c r="F61" s="38"/>
      <c r="G61" s="38"/>
      <c r="H61" s="38"/>
      <c r="I61" s="38"/>
      <c r="J61" s="38"/>
      <c r="K61" s="38"/>
    </row>
    <row r="62" spans="2:17">
      <c r="B62" s="41" t="s">
        <v>157</v>
      </c>
      <c r="C62" s="38"/>
      <c r="D62" s="38"/>
      <c r="E62" s="38"/>
      <c r="F62" s="38"/>
      <c r="G62" s="38"/>
      <c r="H62" s="38"/>
      <c r="I62" s="38"/>
      <c r="J62" s="38"/>
      <c r="K62" s="38"/>
    </row>
    <row r="63" spans="2:17">
      <c r="B63" s="40" t="s">
        <v>158</v>
      </c>
      <c r="C63" s="39"/>
      <c r="D63" s="38"/>
      <c r="E63" s="38"/>
      <c r="F63" s="38"/>
      <c r="G63" s="38"/>
      <c r="H63" s="38"/>
      <c r="I63" s="38"/>
      <c r="J63" s="38"/>
      <c r="K63" s="38"/>
    </row>
    <row r="64" spans="2:17" ht="41.5" customHeight="1">
      <c r="B64" s="153" t="s">
        <v>160</v>
      </c>
      <c r="C64" s="153"/>
      <c r="D64" s="153"/>
      <c r="E64" s="153"/>
      <c r="F64" s="153"/>
      <c r="G64" s="153"/>
      <c r="H64" s="153"/>
      <c r="I64" s="153"/>
      <c r="J64" s="153"/>
      <c r="K64" s="153"/>
    </row>
    <row r="65" spans="2:11" ht="31.9" customHeight="1">
      <c r="B65" s="153" t="s">
        <v>161</v>
      </c>
      <c r="C65" s="153"/>
      <c r="D65" s="153"/>
      <c r="E65" s="153"/>
      <c r="F65" s="153"/>
      <c r="G65" s="153"/>
      <c r="H65" s="153"/>
      <c r="I65" s="153"/>
      <c r="J65" s="153"/>
      <c r="K65" s="153"/>
    </row>
    <row r="66" spans="2:11" ht="30.65" customHeight="1">
      <c r="B66" s="153" t="s">
        <v>163</v>
      </c>
      <c r="C66" s="153"/>
      <c r="D66" s="153"/>
      <c r="E66" s="153"/>
      <c r="F66" s="153"/>
      <c r="G66" s="153"/>
      <c r="H66" s="153"/>
      <c r="I66" s="153"/>
      <c r="J66" s="153"/>
      <c r="K66" s="153"/>
    </row>
    <row r="67" spans="2:11" ht="33" customHeight="1">
      <c r="B67" s="159" t="s">
        <v>139</v>
      </c>
      <c r="C67" s="159"/>
      <c r="D67" s="159"/>
      <c r="E67" s="159"/>
      <c r="F67" s="159"/>
      <c r="G67" s="159"/>
      <c r="H67" s="159"/>
      <c r="I67" s="159"/>
      <c r="J67" s="159"/>
      <c r="K67" s="159"/>
    </row>
    <row r="69" spans="2:11">
      <c r="B69" s="29" t="s">
        <v>176</v>
      </c>
      <c r="C69" s="50"/>
      <c r="D69" s="51">
        <v>43091</v>
      </c>
    </row>
    <row r="70" spans="2:11" ht="32.25" customHeight="1">
      <c r="B70" s="159" t="s">
        <v>203</v>
      </c>
      <c r="C70" s="159"/>
      <c r="D70" s="159"/>
      <c r="E70" s="159"/>
      <c r="F70" s="159"/>
      <c r="G70" s="159"/>
      <c r="H70" s="159"/>
      <c r="I70" s="159"/>
      <c r="J70" s="159"/>
      <c r="K70" s="159"/>
    </row>
    <row r="71" spans="2:11" ht="11.25" customHeight="1">
      <c r="B71" s="32"/>
      <c r="C71" s="32"/>
      <c r="D71" s="32"/>
      <c r="E71" s="32"/>
      <c r="F71" s="32"/>
      <c r="G71" s="32"/>
      <c r="H71" s="32"/>
      <c r="I71" s="32"/>
      <c r="J71" s="32"/>
      <c r="K71" s="32"/>
    </row>
    <row r="72" spans="2:11" s="83" customFormat="1" ht="11.25" customHeight="1">
      <c r="B72" s="85" t="s">
        <v>176</v>
      </c>
      <c r="C72" s="86"/>
      <c r="D72" s="87">
        <v>42810</v>
      </c>
      <c r="E72" s="84"/>
      <c r="F72" s="84"/>
      <c r="G72" s="84"/>
      <c r="H72" s="84"/>
      <c r="I72" s="84"/>
      <c r="J72" s="84"/>
      <c r="K72" s="84"/>
    </row>
    <row r="73" spans="2:11" s="83" customFormat="1" ht="30" customHeight="1">
      <c r="B73" s="159" t="s">
        <v>135</v>
      </c>
      <c r="C73" s="159"/>
      <c r="D73" s="159"/>
      <c r="E73" s="159"/>
      <c r="F73" s="159"/>
      <c r="G73" s="159"/>
      <c r="H73" s="159"/>
      <c r="I73" s="159"/>
      <c r="J73" s="159"/>
      <c r="K73" s="159"/>
    </row>
    <row r="74" spans="2:11" s="83" customFormat="1" ht="11.25" customHeight="1">
      <c r="B74" s="82"/>
      <c r="C74" s="82"/>
      <c r="D74" s="82"/>
      <c r="E74" s="82"/>
      <c r="F74" s="82"/>
      <c r="G74" s="82"/>
      <c r="H74" s="82"/>
      <c r="I74" s="82"/>
      <c r="J74" s="82"/>
      <c r="K74" s="82"/>
    </row>
    <row r="75" spans="2:11">
      <c r="B75" s="29" t="s">
        <v>176</v>
      </c>
      <c r="C75" s="50"/>
      <c r="D75" s="51">
        <v>43312</v>
      </c>
    </row>
    <row r="76" spans="2:11" ht="26.25" customHeight="1">
      <c r="B76" s="159" t="s">
        <v>232</v>
      </c>
      <c r="C76" s="159"/>
      <c r="D76" s="159"/>
      <c r="E76" s="159"/>
      <c r="F76" s="159"/>
      <c r="G76" s="159"/>
      <c r="H76" s="159"/>
      <c r="I76" s="159"/>
      <c r="J76" s="159"/>
      <c r="K76" s="159"/>
    </row>
    <row r="78" spans="2:11" s="141" customFormat="1">
      <c r="B78" s="85" t="s">
        <v>176</v>
      </c>
      <c r="C78" s="86"/>
      <c r="D78" s="87">
        <v>43404</v>
      </c>
    </row>
    <row r="79" spans="2:11" s="141" customFormat="1">
      <c r="B79" s="144" t="s">
        <v>336</v>
      </c>
      <c r="C79" s="145"/>
      <c r="D79" s="145"/>
      <c r="E79" s="145"/>
      <c r="F79" s="145"/>
      <c r="G79" s="145"/>
      <c r="H79" s="145"/>
      <c r="I79" s="145"/>
      <c r="J79" s="145"/>
      <c r="K79" s="145"/>
    </row>
    <row r="80" spans="2:11" s="148" customFormat="1" ht="16.5" customHeight="1"/>
    <row r="81" spans="2:11">
      <c r="B81" s="85" t="s">
        <v>337</v>
      </c>
      <c r="C81" s="86"/>
      <c r="D81" s="87">
        <v>43413</v>
      </c>
      <c r="E81" s="97"/>
      <c r="F81" s="97"/>
      <c r="G81" s="97"/>
      <c r="H81" s="97"/>
      <c r="I81" s="97"/>
      <c r="J81" s="97"/>
      <c r="K81" s="97"/>
    </row>
    <row r="82" spans="2:11" ht="27" customHeight="1">
      <c r="B82" s="161" t="s">
        <v>339</v>
      </c>
      <c r="C82" s="159"/>
      <c r="D82" s="159"/>
      <c r="E82" s="159"/>
      <c r="F82" s="159"/>
      <c r="G82" s="159"/>
      <c r="H82" s="159"/>
      <c r="I82" s="159"/>
      <c r="J82" s="159"/>
      <c r="K82" s="159"/>
    </row>
    <row r="83" spans="2:11" ht="39.75" customHeight="1">
      <c r="B83" s="159" t="s">
        <v>338</v>
      </c>
      <c r="C83" s="159"/>
      <c r="D83" s="159"/>
      <c r="E83" s="159"/>
      <c r="F83" s="159"/>
      <c r="G83" s="159"/>
      <c r="H83" s="159"/>
      <c r="I83" s="159"/>
      <c r="J83" s="159"/>
      <c r="K83" s="159"/>
    </row>
    <row r="84" spans="2:11" s="148" customFormat="1" ht="19.5" customHeight="1">
      <c r="B84" s="147"/>
      <c r="C84" s="147"/>
      <c r="D84" s="147"/>
      <c r="E84" s="147"/>
      <c r="F84" s="147"/>
      <c r="G84" s="147"/>
      <c r="H84" s="147"/>
      <c r="I84" s="147"/>
      <c r="J84" s="147"/>
      <c r="K84" s="147"/>
    </row>
    <row r="85" spans="2:11" s="148" customFormat="1" ht="16.5" customHeight="1">
      <c r="B85" s="85" t="s">
        <v>176</v>
      </c>
      <c r="C85" s="86"/>
      <c r="D85" s="87">
        <v>43481</v>
      </c>
      <c r="E85" s="147"/>
      <c r="F85" s="147"/>
      <c r="G85" s="147"/>
      <c r="H85" s="147"/>
      <c r="I85" s="147"/>
      <c r="J85" s="147"/>
      <c r="K85" s="147"/>
    </row>
    <row r="86" spans="2:11" s="148" customFormat="1" ht="16.5" customHeight="1">
      <c r="B86" s="148" t="s">
        <v>336</v>
      </c>
      <c r="C86" s="86"/>
      <c r="D86" s="87"/>
      <c r="E86" s="147"/>
      <c r="F86" s="147"/>
      <c r="G86" s="147"/>
      <c r="H86" s="147"/>
      <c r="I86" s="147"/>
      <c r="J86" s="147"/>
      <c r="K86" s="147"/>
    </row>
    <row r="87" spans="2:11" s="148" customFormat="1" ht="16.5" customHeight="1">
      <c r="B87" s="85"/>
      <c r="C87" s="86"/>
      <c r="D87" s="87"/>
      <c r="E87" s="147"/>
      <c r="F87" s="147"/>
      <c r="G87" s="147"/>
      <c r="H87" s="147"/>
      <c r="I87" s="147"/>
      <c r="J87" s="147"/>
      <c r="K87" s="147"/>
    </row>
    <row r="88" spans="2:11">
      <c r="B88" s="142" t="s">
        <v>320</v>
      </c>
    </row>
  </sheetData>
  <mergeCells count="52">
    <mergeCell ref="B18:H18"/>
    <mergeCell ref="I18:K18"/>
    <mergeCell ref="B5:K5"/>
    <mergeCell ref="B8:K8"/>
    <mergeCell ref="B9:K9"/>
    <mergeCell ref="B10:H10"/>
    <mergeCell ref="I10:K10"/>
    <mergeCell ref="B12:K12"/>
    <mergeCell ref="B13:K13"/>
    <mergeCell ref="B14:H14"/>
    <mergeCell ref="I14:K14"/>
    <mergeCell ref="B16:K16"/>
    <mergeCell ref="B17:K17"/>
    <mergeCell ref="I19:K19"/>
    <mergeCell ref="B20:K20"/>
    <mergeCell ref="B21:K21"/>
    <mergeCell ref="B22:K22"/>
    <mergeCell ref="B23:K23"/>
    <mergeCell ref="B24:K24"/>
    <mergeCell ref="B25:K25"/>
    <mergeCell ref="B26:K26"/>
    <mergeCell ref="B27:K27"/>
    <mergeCell ref="B28:K28"/>
    <mergeCell ref="B29:K29"/>
    <mergeCell ref="B44:K44"/>
    <mergeCell ref="B33:K33"/>
    <mergeCell ref="B34:K34"/>
    <mergeCell ref="B35:H35"/>
    <mergeCell ref="I35:K35"/>
    <mergeCell ref="B37:K37"/>
    <mergeCell ref="B38:K38"/>
    <mergeCell ref="B39:K39"/>
    <mergeCell ref="B40:H40"/>
    <mergeCell ref="I40:K40"/>
    <mergeCell ref="B42:K42"/>
    <mergeCell ref="B43:K43"/>
    <mergeCell ref="B32:K32"/>
    <mergeCell ref="B47:K47"/>
    <mergeCell ref="B48:K48"/>
    <mergeCell ref="B51:K51"/>
    <mergeCell ref="B54:K54"/>
    <mergeCell ref="B56:K56"/>
    <mergeCell ref="B82:K82"/>
    <mergeCell ref="B83:K83"/>
    <mergeCell ref="B70:K70"/>
    <mergeCell ref="B73:K73"/>
    <mergeCell ref="B57:K57"/>
    <mergeCell ref="B64:K64"/>
    <mergeCell ref="B65:K65"/>
    <mergeCell ref="B66:K66"/>
    <mergeCell ref="B67:K67"/>
    <mergeCell ref="B76:K76"/>
  </mergeCells>
  <pageMargins left="0.7" right="0.7" top="0.75" bottom="0.75" header="0.3" footer="0.3"/>
  <pageSetup paperSize="8"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27"/>
  <sheetViews>
    <sheetView workbookViewId="0"/>
  </sheetViews>
  <sheetFormatPr defaultColWidth="9.1796875" defaultRowHeight="14.5"/>
  <cols>
    <col min="1" max="1" width="25.54296875" style="30" bestFit="1" customWidth="1"/>
    <col min="2" max="2" width="26.81640625" style="30" bestFit="1" customWidth="1"/>
    <col min="3" max="3" width="39.54296875" style="30" bestFit="1" customWidth="1"/>
    <col min="4" max="4" width="25.54296875" style="30" bestFit="1" customWidth="1"/>
    <col min="5" max="5" width="19.1796875" style="30" bestFit="1" customWidth="1"/>
    <col min="6" max="6" width="14.81640625" style="30" bestFit="1" customWidth="1"/>
    <col min="7" max="7" width="16.54296875" style="30" bestFit="1" customWidth="1"/>
    <col min="8" max="8" width="17.54296875" style="30" bestFit="1" customWidth="1"/>
    <col min="9" max="9" width="15.7265625" style="97" bestFit="1" customWidth="1"/>
    <col min="10" max="10" width="11" style="30" hidden="1" customWidth="1"/>
    <col min="11" max="11" width="26.81640625" style="30" hidden="1" customWidth="1"/>
    <col min="12" max="12" width="19.54296875" style="97" hidden="1" customWidth="1"/>
    <col min="13" max="13" width="19.54296875" style="97" customWidth="1"/>
    <col min="14" max="14" width="11.1796875" style="30" customWidth="1"/>
    <col min="15" max="16384" width="9.1796875" style="30"/>
  </cols>
  <sheetData>
    <row r="1" spans="1:13" ht="19.5" thickBot="1">
      <c r="A1" s="60" t="s">
        <v>0</v>
      </c>
    </row>
    <row r="2" spans="1:13" ht="15" thickBot="1">
      <c r="A2" s="59" t="s">
        <v>1</v>
      </c>
      <c r="B2" s="59" t="s">
        <v>2</v>
      </c>
      <c r="C2" s="59" t="s">
        <v>316</v>
      </c>
      <c r="D2" s="59" t="s">
        <v>71</v>
      </c>
      <c r="E2" s="59" t="s">
        <v>3</v>
      </c>
      <c r="F2" s="59" t="s">
        <v>4</v>
      </c>
      <c r="G2" s="59" t="s">
        <v>5</v>
      </c>
      <c r="H2" s="59" t="s">
        <v>6</v>
      </c>
      <c r="I2" s="59" t="s">
        <v>342</v>
      </c>
      <c r="J2" s="2" t="s">
        <v>7</v>
      </c>
      <c r="K2" s="2" t="s">
        <v>123</v>
      </c>
      <c r="L2" s="2" t="s">
        <v>127</v>
      </c>
      <c r="M2" s="30"/>
    </row>
    <row r="3" spans="1:13" ht="15" thickBot="1">
      <c r="A3" s="17" t="s">
        <v>16</v>
      </c>
      <c r="B3" s="13" t="s">
        <v>17</v>
      </c>
      <c r="C3" s="19" t="s">
        <v>18</v>
      </c>
      <c r="D3" s="13">
        <v>79.900000000000006</v>
      </c>
      <c r="E3" s="19" t="s">
        <v>19</v>
      </c>
      <c r="F3" s="13" t="s">
        <v>15</v>
      </c>
      <c r="G3" s="19" t="s">
        <v>8</v>
      </c>
      <c r="H3" s="13" t="s">
        <v>9</v>
      </c>
      <c r="I3" s="13" t="s">
        <v>91</v>
      </c>
      <c r="J3" s="19" t="s">
        <v>20</v>
      </c>
      <c r="K3" s="13" t="s">
        <v>118</v>
      </c>
      <c r="L3" s="19" t="s">
        <v>15</v>
      </c>
      <c r="M3" s="30"/>
    </row>
    <row r="4" spans="1:13" ht="15" thickBot="1">
      <c r="A4" s="16" t="s">
        <v>21</v>
      </c>
      <c r="B4" s="12" t="s">
        <v>22</v>
      </c>
      <c r="C4" s="19" t="s">
        <v>23</v>
      </c>
      <c r="D4" s="13">
        <v>120</v>
      </c>
      <c r="E4" s="18" t="s">
        <v>13</v>
      </c>
      <c r="F4" s="12" t="s">
        <v>14</v>
      </c>
      <c r="G4" s="18" t="s">
        <v>8</v>
      </c>
      <c r="H4" s="12" t="s">
        <v>9</v>
      </c>
      <c r="I4" s="13" t="s">
        <v>91</v>
      </c>
      <c r="J4" s="18" t="s">
        <v>20</v>
      </c>
      <c r="K4" s="12" t="s">
        <v>118</v>
      </c>
      <c r="L4" s="18" t="s">
        <v>13</v>
      </c>
      <c r="M4" s="30"/>
    </row>
    <row r="5" spans="1:13" ht="30.5" thickBot="1">
      <c r="A5" s="16" t="s">
        <v>26</v>
      </c>
      <c r="B5" s="12" t="s">
        <v>17</v>
      </c>
      <c r="C5" s="19" t="s">
        <v>27</v>
      </c>
      <c r="D5" s="13">
        <v>170.1</v>
      </c>
      <c r="E5" s="18" t="s">
        <v>19</v>
      </c>
      <c r="F5" s="12" t="s">
        <v>15</v>
      </c>
      <c r="G5" s="18" t="s">
        <v>8</v>
      </c>
      <c r="H5" s="12" t="s">
        <v>9</v>
      </c>
      <c r="I5" s="13" t="s">
        <v>91</v>
      </c>
      <c r="J5" s="18" t="s">
        <v>20</v>
      </c>
      <c r="K5" s="12" t="s">
        <v>118</v>
      </c>
      <c r="L5" s="18" t="s">
        <v>15</v>
      </c>
      <c r="M5" s="30"/>
    </row>
    <row r="6" spans="1:13" ht="15" thickBot="1">
      <c r="A6" s="16" t="s">
        <v>28</v>
      </c>
      <c r="B6" s="12" t="s">
        <v>17</v>
      </c>
      <c r="C6" s="19" t="s">
        <v>29</v>
      </c>
      <c r="D6" s="13">
        <v>85</v>
      </c>
      <c r="E6" s="18" t="s">
        <v>19</v>
      </c>
      <c r="F6" s="12" t="s">
        <v>15</v>
      </c>
      <c r="G6" s="18" t="s">
        <v>8</v>
      </c>
      <c r="H6" s="12" t="s">
        <v>9</v>
      </c>
      <c r="I6" s="13" t="s">
        <v>91</v>
      </c>
      <c r="J6" s="18" t="s">
        <v>20</v>
      </c>
      <c r="K6" s="12" t="s">
        <v>118</v>
      </c>
      <c r="L6" s="18" t="s">
        <v>15</v>
      </c>
      <c r="M6" s="30"/>
    </row>
    <row r="7" spans="1:13" ht="15" thickBot="1">
      <c r="A7" s="16" t="s">
        <v>32</v>
      </c>
      <c r="B7" s="12" t="s">
        <v>17</v>
      </c>
      <c r="C7" s="19" t="s">
        <v>33</v>
      </c>
      <c r="D7" s="13">
        <v>60</v>
      </c>
      <c r="E7" s="18" t="s">
        <v>19</v>
      </c>
      <c r="F7" s="12" t="s">
        <v>15</v>
      </c>
      <c r="G7" s="18" t="s">
        <v>8</v>
      </c>
      <c r="H7" s="12" t="s">
        <v>9</v>
      </c>
      <c r="I7" s="13" t="s">
        <v>91</v>
      </c>
      <c r="J7" s="18" t="s">
        <v>20</v>
      </c>
      <c r="K7" s="12" t="s">
        <v>118</v>
      </c>
      <c r="L7" s="18" t="s">
        <v>15</v>
      </c>
      <c r="M7" s="30"/>
    </row>
    <row r="8" spans="1:13" ht="15" thickBot="1">
      <c r="A8" s="16" t="s">
        <v>34</v>
      </c>
      <c r="B8" s="12" t="s">
        <v>17</v>
      </c>
      <c r="C8" s="19" t="s">
        <v>35</v>
      </c>
      <c r="D8" s="13">
        <v>43.2</v>
      </c>
      <c r="E8" s="18" t="s">
        <v>19</v>
      </c>
      <c r="F8" s="12" t="s">
        <v>15</v>
      </c>
      <c r="G8" s="18" t="s">
        <v>8</v>
      </c>
      <c r="H8" s="12" t="s">
        <v>9</v>
      </c>
      <c r="I8" s="13" t="s">
        <v>91</v>
      </c>
      <c r="J8" s="18" t="s">
        <v>20</v>
      </c>
      <c r="K8" s="12" t="s">
        <v>118</v>
      </c>
      <c r="L8" s="18" t="s">
        <v>15</v>
      </c>
      <c r="M8" s="30"/>
    </row>
    <row r="9" spans="1:13" ht="15" thickBot="1">
      <c r="A9" s="16" t="s">
        <v>36</v>
      </c>
      <c r="B9" s="12" t="s">
        <v>17</v>
      </c>
      <c r="C9" s="19" t="s">
        <v>37</v>
      </c>
      <c r="D9" s="13">
        <v>432</v>
      </c>
      <c r="E9" s="18" t="s">
        <v>19</v>
      </c>
      <c r="F9" s="12" t="s">
        <v>15</v>
      </c>
      <c r="G9" s="18" t="s">
        <v>8</v>
      </c>
      <c r="H9" s="12" t="s">
        <v>9</v>
      </c>
      <c r="I9" s="13" t="s">
        <v>91</v>
      </c>
      <c r="J9" s="18" t="s">
        <v>20</v>
      </c>
      <c r="K9" s="12" t="s">
        <v>118</v>
      </c>
      <c r="L9" s="18" t="s">
        <v>15</v>
      </c>
      <c r="M9" s="30"/>
    </row>
    <row r="10" spans="1:13" ht="15" thickBot="1">
      <c r="A10" s="16" t="s">
        <v>39</v>
      </c>
      <c r="B10" s="12" t="s">
        <v>17</v>
      </c>
      <c r="C10" s="19" t="s">
        <v>40</v>
      </c>
      <c r="D10" s="13">
        <v>144</v>
      </c>
      <c r="E10" s="18" t="s">
        <v>19</v>
      </c>
      <c r="F10" s="12" t="s">
        <v>15</v>
      </c>
      <c r="G10" s="18" t="s">
        <v>8</v>
      </c>
      <c r="H10" s="12" t="s">
        <v>9</v>
      </c>
      <c r="I10" s="13" t="s">
        <v>91</v>
      </c>
      <c r="J10" s="18" t="s">
        <v>20</v>
      </c>
      <c r="K10" s="12" t="s">
        <v>118</v>
      </c>
      <c r="L10" s="18" t="s">
        <v>15</v>
      </c>
      <c r="M10" s="30"/>
    </row>
    <row r="11" spans="1:13" ht="15" thickBot="1">
      <c r="A11" s="16" t="s">
        <v>41</v>
      </c>
      <c r="B11" s="12" t="s">
        <v>17</v>
      </c>
      <c r="C11" s="19" t="s">
        <v>42</v>
      </c>
      <c r="D11" s="13">
        <v>32.4</v>
      </c>
      <c r="E11" s="18" t="s">
        <v>19</v>
      </c>
      <c r="F11" s="12" t="s">
        <v>15</v>
      </c>
      <c r="G11" s="18" t="s">
        <v>8</v>
      </c>
      <c r="H11" s="12" t="s">
        <v>9</v>
      </c>
      <c r="I11" s="13" t="s">
        <v>91</v>
      </c>
      <c r="J11" s="18" t="s">
        <v>20</v>
      </c>
      <c r="K11" s="12" t="s">
        <v>118</v>
      </c>
      <c r="L11" s="18" t="s">
        <v>15</v>
      </c>
      <c r="M11" s="30"/>
    </row>
    <row r="12" spans="1:13" ht="20.5" thickBot="1">
      <c r="A12" s="16" t="s">
        <v>43</v>
      </c>
      <c r="B12" s="12" t="s">
        <v>17</v>
      </c>
      <c r="C12" s="19" t="s">
        <v>44</v>
      </c>
      <c r="D12" s="13">
        <v>81.599999999999994</v>
      </c>
      <c r="E12" s="18" t="s">
        <v>19</v>
      </c>
      <c r="F12" s="12" t="s">
        <v>15</v>
      </c>
      <c r="G12" s="18" t="s">
        <v>8</v>
      </c>
      <c r="H12" s="12" t="s">
        <v>9</v>
      </c>
      <c r="I12" s="13" t="s">
        <v>91</v>
      </c>
      <c r="J12" s="18" t="s">
        <v>20</v>
      </c>
      <c r="K12" s="12" t="s">
        <v>118</v>
      </c>
      <c r="L12" s="18" t="s">
        <v>15</v>
      </c>
      <c r="M12" s="30"/>
    </row>
    <row r="13" spans="1:13" ht="15" thickBot="1">
      <c r="A13" s="16" t="s">
        <v>46</v>
      </c>
      <c r="B13" s="12" t="s">
        <v>17</v>
      </c>
      <c r="C13" s="19" t="s">
        <v>18</v>
      </c>
      <c r="D13" s="13">
        <v>79.900000000000006</v>
      </c>
      <c r="E13" s="18" t="s">
        <v>19</v>
      </c>
      <c r="F13" s="12" t="s">
        <v>15</v>
      </c>
      <c r="G13" s="18" t="s">
        <v>8</v>
      </c>
      <c r="H13" s="12" t="s">
        <v>9</v>
      </c>
      <c r="I13" s="13" t="s">
        <v>91</v>
      </c>
      <c r="J13" s="18" t="s">
        <v>20</v>
      </c>
      <c r="K13" s="12" t="s">
        <v>118</v>
      </c>
      <c r="L13" s="18" t="s">
        <v>15</v>
      </c>
      <c r="M13" s="30"/>
    </row>
    <row r="14" spans="1:13" ht="15" thickBot="1">
      <c r="A14" s="16" t="s">
        <v>47</v>
      </c>
      <c r="B14" s="12" t="s">
        <v>17</v>
      </c>
      <c r="C14" s="19" t="s">
        <v>48</v>
      </c>
      <c r="D14" s="13">
        <v>40</v>
      </c>
      <c r="E14" s="18" t="s">
        <v>19</v>
      </c>
      <c r="F14" s="12" t="s">
        <v>15</v>
      </c>
      <c r="G14" s="18" t="s">
        <v>8</v>
      </c>
      <c r="H14" s="12" t="s">
        <v>9</v>
      </c>
      <c r="I14" s="13" t="s">
        <v>91</v>
      </c>
      <c r="J14" s="18" t="s">
        <v>20</v>
      </c>
      <c r="K14" s="12" t="s">
        <v>118</v>
      </c>
      <c r="L14" s="18" t="s">
        <v>15</v>
      </c>
      <c r="M14" s="30"/>
    </row>
    <row r="15" spans="1:13" ht="15" thickBot="1">
      <c r="A15" s="16" t="s">
        <v>317</v>
      </c>
      <c r="B15" s="12" t="s">
        <v>49</v>
      </c>
      <c r="C15" s="19" t="s">
        <v>50</v>
      </c>
      <c r="D15" s="13">
        <v>168</v>
      </c>
      <c r="E15" s="18" t="s">
        <v>10</v>
      </c>
      <c r="F15" s="12" t="s">
        <v>11</v>
      </c>
      <c r="G15" s="18" t="s">
        <v>12</v>
      </c>
      <c r="H15" s="12" t="s">
        <v>9</v>
      </c>
      <c r="I15" s="13" t="s">
        <v>91</v>
      </c>
      <c r="J15" s="18" t="s">
        <v>20</v>
      </c>
      <c r="K15" s="12" t="s">
        <v>118</v>
      </c>
      <c r="L15" s="18" t="s">
        <v>11</v>
      </c>
      <c r="M15" s="30"/>
    </row>
    <row r="16" spans="1:13" ht="15" thickBot="1">
      <c r="A16" s="16" t="s">
        <v>51</v>
      </c>
      <c r="B16" s="12" t="s">
        <v>17</v>
      </c>
      <c r="C16" s="19" t="s">
        <v>52</v>
      </c>
      <c r="D16" s="13">
        <v>300</v>
      </c>
      <c r="E16" s="18" t="s">
        <v>19</v>
      </c>
      <c r="F16" s="12" t="s">
        <v>15</v>
      </c>
      <c r="G16" s="18" t="s">
        <v>8</v>
      </c>
      <c r="H16" s="12" t="s">
        <v>9</v>
      </c>
      <c r="I16" s="13" t="s">
        <v>91</v>
      </c>
      <c r="J16" s="18" t="s">
        <v>20</v>
      </c>
      <c r="K16" s="12" t="s">
        <v>118</v>
      </c>
      <c r="L16" s="18" t="s">
        <v>15</v>
      </c>
      <c r="M16" s="30"/>
    </row>
    <row r="17" spans="1:13" ht="15" thickBot="1">
      <c r="A17" s="16" t="s">
        <v>53</v>
      </c>
      <c r="B17" s="12" t="s">
        <v>17</v>
      </c>
      <c r="C17" s="19" t="s">
        <v>54</v>
      </c>
      <c r="D17" s="13">
        <v>231.2</v>
      </c>
      <c r="E17" s="18" t="s">
        <v>19</v>
      </c>
      <c r="F17" s="12" t="s">
        <v>15</v>
      </c>
      <c r="G17" s="18" t="s">
        <v>8</v>
      </c>
      <c r="H17" s="12" t="s">
        <v>9</v>
      </c>
      <c r="I17" s="13" t="s">
        <v>91</v>
      </c>
      <c r="J17" s="18" t="s">
        <v>20</v>
      </c>
      <c r="K17" s="12" t="s">
        <v>118</v>
      </c>
      <c r="L17" s="18" t="s">
        <v>15</v>
      </c>
      <c r="M17" s="30"/>
    </row>
    <row r="18" spans="1:13" ht="20.5" thickBot="1">
      <c r="A18" s="16" t="s">
        <v>55</v>
      </c>
      <c r="B18" s="12" t="s">
        <v>22</v>
      </c>
      <c r="C18" s="19" t="s">
        <v>56</v>
      </c>
      <c r="D18" s="13">
        <v>208</v>
      </c>
      <c r="E18" s="18" t="s">
        <v>31</v>
      </c>
      <c r="F18" s="12" t="s">
        <v>14</v>
      </c>
      <c r="G18" s="18" t="s">
        <v>8</v>
      </c>
      <c r="H18" s="12" t="s">
        <v>45</v>
      </c>
      <c r="I18" s="13" t="s">
        <v>91</v>
      </c>
      <c r="J18" s="18" t="s">
        <v>20</v>
      </c>
      <c r="K18" s="12" t="s">
        <v>45</v>
      </c>
      <c r="L18" s="18" t="s">
        <v>31</v>
      </c>
      <c r="M18" s="30"/>
    </row>
    <row r="19" spans="1:13" ht="15" thickBot="1">
      <c r="A19" s="16" t="s">
        <v>57</v>
      </c>
      <c r="B19" s="12" t="s">
        <v>22</v>
      </c>
      <c r="C19" s="19" t="s">
        <v>58</v>
      </c>
      <c r="D19" s="13">
        <v>58</v>
      </c>
      <c r="E19" s="18" t="s">
        <v>13</v>
      </c>
      <c r="F19" s="12" t="s">
        <v>14</v>
      </c>
      <c r="G19" s="18" t="s">
        <v>8</v>
      </c>
      <c r="H19" s="12" t="s">
        <v>9</v>
      </c>
      <c r="I19" s="13" t="s">
        <v>91</v>
      </c>
      <c r="J19" s="18" t="s">
        <v>20</v>
      </c>
      <c r="K19" s="12" t="s">
        <v>118</v>
      </c>
      <c r="L19" s="18" t="s">
        <v>13</v>
      </c>
      <c r="M19" s="30"/>
    </row>
    <row r="20" spans="1:13" ht="15" thickBot="1">
      <c r="A20" s="16" t="s">
        <v>59</v>
      </c>
      <c r="B20" s="12" t="s">
        <v>17</v>
      </c>
      <c r="C20" s="19" t="s">
        <v>60</v>
      </c>
      <c r="D20" s="13">
        <v>90</v>
      </c>
      <c r="E20" s="18" t="s">
        <v>19</v>
      </c>
      <c r="F20" s="12" t="s">
        <v>15</v>
      </c>
      <c r="G20" s="18" t="s">
        <v>8</v>
      </c>
      <c r="H20" s="12" t="s">
        <v>9</v>
      </c>
      <c r="I20" s="13" t="s">
        <v>91</v>
      </c>
      <c r="J20" s="18" t="s">
        <v>20</v>
      </c>
      <c r="K20" s="12" t="s">
        <v>118</v>
      </c>
      <c r="L20" s="18" t="s">
        <v>15</v>
      </c>
      <c r="M20" s="30"/>
    </row>
    <row r="21" spans="1:13" ht="20.5" thickBot="1">
      <c r="A21" s="16" t="s">
        <v>61</v>
      </c>
      <c r="B21" s="12" t="s">
        <v>17</v>
      </c>
      <c r="C21" s="19" t="s">
        <v>62</v>
      </c>
      <c r="D21" s="13">
        <v>93</v>
      </c>
      <c r="E21" s="18" t="s">
        <v>19</v>
      </c>
      <c r="F21" s="12" t="s">
        <v>15</v>
      </c>
      <c r="G21" s="18" t="s">
        <v>8</v>
      </c>
      <c r="H21" s="12" t="s">
        <v>9</v>
      </c>
      <c r="I21" s="13" t="s">
        <v>91</v>
      </c>
      <c r="J21" s="18" t="s">
        <v>20</v>
      </c>
      <c r="K21" s="12" t="s">
        <v>118</v>
      </c>
      <c r="L21" s="18" t="s">
        <v>15</v>
      </c>
      <c r="M21" s="30"/>
    </row>
    <row r="22" spans="1:13" ht="15" thickBot="1">
      <c r="A22" s="16" t="s">
        <v>63</v>
      </c>
      <c r="B22" s="12" t="s">
        <v>17</v>
      </c>
      <c r="C22" s="19" t="s">
        <v>64</v>
      </c>
      <c r="D22" s="13">
        <v>82.8</v>
      </c>
      <c r="E22" s="18" t="s">
        <v>19</v>
      </c>
      <c r="F22" s="12" t="s">
        <v>15</v>
      </c>
      <c r="G22" s="18" t="s">
        <v>8</v>
      </c>
      <c r="H22" s="12" t="s">
        <v>9</v>
      </c>
      <c r="I22" s="13" t="s">
        <v>91</v>
      </c>
      <c r="J22" s="18" t="s">
        <v>20</v>
      </c>
      <c r="K22" s="12" t="s">
        <v>118</v>
      </c>
      <c r="L22" s="18" t="s">
        <v>15</v>
      </c>
      <c r="M22" s="30"/>
    </row>
    <row r="23" spans="1:13" ht="15" thickBot="1">
      <c r="A23" s="16" t="s">
        <v>65</v>
      </c>
      <c r="B23" s="12" t="s">
        <v>17</v>
      </c>
      <c r="C23" s="19" t="s">
        <v>66</v>
      </c>
      <c r="D23" s="13">
        <v>125</v>
      </c>
      <c r="E23" s="18" t="s">
        <v>19</v>
      </c>
      <c r="F23" s="12" t="s">
        <v>15</v>
      </c>
      <c r="G23" s="18" t="s">
        <v>8</v>
      </c>
      <c r="H23" s="12" t="s">
        <v>9</v>
      </c>
      <c r="I23" s="13" t="s">
        <v>91</v>
      </c>
      <c r="J23" s="18" t="s">
        <v>20</v>
      </c>
      <c r="K23" s="12" t="s">
        <v>118</v>
      </c>
      <c r="L23" s="18" t="s">
        <v>15</v>
      </c>
      <c r="M23" s="30"/>
    </row>
    <row r="24" spans="1:13" ht="15" thickBot="1"/>
    <row r="25" spans="1:13" ht="15" thickBot="1">
      <c r="A25" s="57" t="s">
        <v>67</v>
      </c>
      <c r="B25" s="120"/>
      <c r="C25" s="121"/>
      <c r="D25" s="58">
        <f>SUM(existingstable[Nameplate Capacity (MW)])</f>
        <v>2724.1000000000004</v>
      </c>
      <c r="E25" s="121"/>
      <c r="F25" s="120"/>
      <c r="G25" s="121"/>
      <c r="H25" s="120"/>
      <c r="I25" s="149"/>
    </row>
    <row r="27" spans="1:13" ht="24.75" customHeight="1">
      <c r="A27" s="171" t="s">
        <v>335</v>
      </c>
      <c r="B27" s="172"/>
      <c r="C27" s="172"/>
      <c r="D27" s="172"/>
      <c r="E27" s="172"/>
      <c r="F27" s="172"/>
      <c r="G27" s="172"/>
      <c r="H27" s="172"/>
      <c r="I27" s="172"/>
      <c r="J27" s="172"/>
      <c r="K27" s="172"/>
    </row>
  </sheetData>
  <mergeCells count="1">
    <mergeCell ref="A27:K27"/>
  </mergeCell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65"/>
  <sheetViews>
    <sheetView workbookViewId="0"/>
  </sheetViews>
  <sheetFormatPr defaultColWidth="9.1796875" defaultRowHeight="14.5"/>
  <cols>
    <col min="1" max="1" width="25.7265625" style="30" bestFit="1" customWidth="1"/>
    <col min="2" max="11" width="10.7265625" style="30" bestFit="1" customWidth="1"/>
    <col min="12" max="12" width="16.1796875" style="30" bestFit="1" customWidth="1"/>
    <col min="13" max="13" width="12.7265625" style="30" hidden="1" customWidth="1"/>
    <col min="14" max="14" width="11" style="30" hidden="1" customWidth="1"/>
    <col min="15" max="15" width="11.453125" style="30" hidden="1" customWidth="1"/>
    <col min="16" max="16384" width="9.1796875" style="30"/>
  </cols>
  <sheetData>
    <row r="1" spans="1:23" ht="19.5" thickBot="1">
      <c r="A1" s="60" t="s">
        <v>236</v>
      </c>
      <c r="M1" s="54"/>
      <c r="N1" s="54"/>
      <c r="O1" s="54"/>
      <c r="P1" s="54"/>
      <c r="Q1" s="54"/>
      <c r="R1" s="54"/>
      <c r="S1" s="54"/>
      <c r="T1" s="54"/>
      <c r="U1" s="54"/>
      <c r="V1" s="54"/>
      <c r="W1" s="54"/>
    </row>
    <row r="2" spans="1:23" ht="15" thickBot="1">
      <c r="A2" s="140" t="s">
        <v>237</v>
      </c>
      <c r="B2" s="140" t="s">
        <v>322</v>
      </c>
      <c r="C2" s="140" t="s">
        <v>323</v>
      </c>
      <c r="D2" s="140" t="s">
        <v>324</v>
      </c>
      <c r="E2" s="140" t="s">
        <v>325</v>
      </c>
      <c r="F2" s="140" t="s">
        <v>326</v>
      </c>
      <c r="G2" s="140" t="s">
        <v>327</v>
      </c>
      <c r="H2" s="140" t="s">
        <v>328</v>
      </c>
      <c r="I2" s="140" t="s">
        <v>329</v>
      </c>
      <c r="J2" s="140" t="s">
        <v>330</v>
      </c>
      <c r="K2" s="140" t="s">
        <v>331</v>
      </c>
      <c r="L2" s="140" t="s">
        <v>272</v>
      </c>
      <c r="M2" s="59" t="s">
        <v>238</v>
      </c>
      <c r="N2" s="59" t="s">
        <v>7</v>
      </c>
      <c r="O2" s="59" t="s">
        <v>239</v>
      </c>
    </row>
    <row r="3" spans="1:23" ht="15" thickBot="1">
      <c r="A3" s="17" t="s">
        <v>16</v>
      </c>
      <c r="B3" s="101">
        <v>81</v>
      </c>
      <c r="C3" s="102">
        <v>81</v>
      </c>
      <c r="D3" s="101">
        <v>81</v>
      </c>
      <c r="E3" s="102">
        <v>0</v>
      </c>
      <c r="F3" s="101">
        <v>81</v>
      </c>
      <c r="G3" s="102">
        <v>81</v>
      </c>
      <c r="H3" s="101">
        <v>81</v>
      </c>
      <c r="I3" s="102">
        <v>81</v>
      </c>
      <c r="J3" s="101">
        <v>81</v>
      </c>
      <c r="K3" s="102">
        <v>81</v>
      </c>
      <c r="L3" s="74" t="s">
        <v>8</v>
      </c>
      <c r="M3" s="21" t="s">
        <v>240</v>
      </c>
      <c r="N3" s="74" t="s">
        <v>20</v>
      </c>
      <c r="O3" s="21" t="s">
        <v>241</v>
      </c>
    </row>
    <row r="4" spans="1:23" ht="15" thickBot="1">
      <c r="A4" s="16" t="s">
        <v>21</v>
      </c>
      <c r="B4" s="103">
        <v>105</v>
      </c>
      <c r="C4" s="104">
        <v>105</v>
      </c>
      <c r="D4" s="103">
        <v>105</v>
      </c>
      <c r="E4" s="104">
        <v>105</v>
      </c>
      <c r="F4" s="103">
        <v>105</v>
      </c>
      <c r="G4" s="104">
        <v>105</v>
      </c>
      <c r="H4" s="103">
        <v>105</v>
      </c>
      <c r="I4" s="104">
        <v>105</v>
      </c>
      <c r="J4" s="103">
        <v>105</v>
      </c>
      <c r="K4" s="104">
        <v>105</v>
      </c>
      <c r="L4" s="73" t="s">
        <v>8</v>
      </c>
      <c r="M4" s="20" t="s">
        <v>242</v>
      </c>
      <c r="N4" s="73" t="s">
        <v>20</v>
      </c>
      <c r="O4" s="20" t="s">
        <v>241</v>
      </c>
    </row>
    <row r="5" spans="1:23" ht="15" thickBot="1">
      <c r="A5" s="16" t="s">
        <v>26</v>
      </c>
      <c r="B5" s="103">
        <v>107.8</v>
      </c>
      <c r="C5" s="104">
        <v>149.69999999999999</v>
      </c>
      <c r="D5" s="103">
        <v>173.7</v>
      </c>
      <c r="E5" s="104">
        <v>173.7</v>
      </c>
      <c r="F5" s="103">
        <v>173.7</v>
      </c>
      <c r="G5" s="104">
        <v>173.7</v>
      </c>
      <c r="H5" s="103">
        <v>173.7</v>
      </c>
      <c r="I5" s="104">
        <v>173.7</v>
      </c>
      <c r="J5" s="103">
        <v>173.7</v>
      </c>
      <c r="K5" s="104">
        <v>173.7</v>
      </c>
      <c r="L5" s="73" t="s">
        <v>8</v>
      </c>
      <c r="M5" s="20" t="s">
        <v>240</v>
      </c>
      <c r="N5" s="73" t="s">
        <v>20</v>
      </c>
      <c r="O5" s="20" t="s">
        <v>241</v>
      </c>
    </row>
    <row r="6" spans="1:23" ht="15" thickBot="1">
      <c r="A6" s="16" t="s">
        <v>28</v>
      </c>
      <c r="B6" s="103">
        <v>95</v>
      </c>
      <c r="C6" s="104">
        <v>95</v>
      </c>
      <c r="D6" s="103">
        <v>95</v>
      </c>
      <c r="E6" s="104">
        <v>0</v>
      </c>
      <c r="F6" s="103">
        <v>95</v>
      </c>
      <c r="G6" s="104">
        <v>95</v>
      </c>
      <c r="H6" s="103">
        <v>95</v>
      </c>
      <c r="I6" s="104">
        <v>95</v>
      </c>
      <c r="J6" s="103">
        <v>95</v>
      </c>
      <c r="K6" s="104">
        <v>95</v>
      </c>
      <c r="L6" s="73" t="s">
        <v>8</v>
      </c>
      <c r="M6" s="20" t="s">
        <v>240</v>
      </c>
      <c r="N6" s="73" t="s">
        <v>20</v>
      </c>
      <c r="O6" s="20" t="s">
        <v>241</v>
      </c>
    </row>
    <row r="7" spans="1:23" ht="15" thickBot="1">
      <c r="A7" s="16" t="s">
        <v>32</v>
      </c>
      <c r="B7" s="103">
        <v>63</v>
      </c>
      <c r="C7" s="104">
        <v>63</v>
      </c>
      <c r="D7" s="103">
        <v>63</v>
      </c>
      <c r="E7" s="104">
        <v>63</v>
      </c>
      <c r="F7" s="103">
        <v>63</v>
      </c>
      <c r="G7" s="104">
        <v>63</v>
      </c>
      <c r="H7" s="103">
        <v>63</v>
      </c>
      <c r="I7" s="104">
        <v>63</v>
      </c>
      <c r="J7" s="103">
        <v>63</v>
      </c>
      <c r="K7" s="104">
        <v>63</v>
      </c>
      <c r="L7" s="73" t="s">
        <v>8</v>
      </c>
      <c r="M7" s="20" t="s">
        <v>240</v>
      </c>
      <c r="N7" s="73" t="s">
        <v>20</v>
      </c>
      <c r="O7" s="20" t="s">
        <v>241</v>
      </c>
    </row>
    <row r="8" spans="1:23" ht="15" thickBot="1">
      <c r="A8" s="16" t="s">
        <v>34</v>
      </c>
      <c r="B8" s="103">
        <v>46</v>
      </c>
      <c r="C8" s="104">
        <v>46</v>
      </c>
      <c r="D8" s="103">
        <v>46</v>
      </c>
      <c r="E8" s="104">
        <v>46</v>
      </c>
      <c r="F8" s="103">
        <v>46</v>
      </c>
      <c r="G8" s="104">
        <v>46</v>
      </c>
      <c r="H8" s="103">
        <v>46</v>
      </c>
      <c r="I8" s="104">
        <v>46</v>
      </c>
      <c r="J8" s="103">
        <v>46</v>
      </c>
      <c r="K8" s="104">
        <v>46</v>
      </c>
      <c r="L8" s="73" t="s">
        <v>8</v>
      </c>
      <c r="M8" s="20" t="s">
        <v>240</v>
      </c>
      <c r="N8" s="73" t="s">
        <v>20</v>
      </c>
      <c r="O8" s="20" t="s">
        <v>241</v>
      </c>
    </row>
    <row r="9" spans="1:23" ht="15" thickBot="1">
      <c r="A9" s="16" t="s">
        <v>36</v>
      </c>
      <c r="B9" s="103">
        <v>370.79999999999995</v>
      </c>
      <c r="C9" s="104">
        <v>370.79999999999995</v>
      </c>
      <c r="D9" s="103">
        <v>370.79999999999995</v>
      </c>
      <c r="E9" s="104">
        <v>370.79999999999995</v>
      </c>
      <c r="F9" s="103">
        <v>370.79999999999995</v>
      </c>
      <c r="G9" s="104">
        <v>247.2</v>
      </c>
      <c r="H9" s="103">
        <v>370.79999999999995</v>
      </c>
      <c r="I9" s="104">
        <v>370.79999999999995</v>
      </c>
      <c r="J9" s="103">
        <v>370.79999999999995</v>
      </c>
      <c r="K9" s="104">
        <v>370.79999999999995</v>
      </c>
      <c r="L9" s="73" t="s">
        <v>8</v>
      </c>
      <c r="M9" s="20" t="s">
        <v>240</v>
      </c>
      <c r="N9" s="73" t="s">
        <v>20</v>
      </c>
      <c r="O9" s="20" t="s">
        <v>241</v>
      </c>
    </row>
    <row r="10" spans="1:23" ht="15" thickBot="1">
      <c r="A10" s="16" t="s">
        <v>97</v>
      </c>
      <c r="B10" s="103">
        <v>0</v>
      </c>
      <c r="C10" s="104">
        <v>111.6</v>
      </c>
      <c r="D10" s="103">
        <v>111.6</v>
      </c>
      <c r="E10" s="104">
        <v>111.6</v>
      </c>
      <c r="F10" s="103">
        <v>111.6</v>
      </c>
      <c r="G10" s="104">
        <v>111.6</v>
      </c>
      <c r="H10" s="103">
        <v>111.6</v>
      </c>
      <c r="I10" s="104">
        <v>111.6</v>
      </c>
      <c r="J10" s="103">
        <v>111.6</v>
      </c>
      <c r="K10" s="104">
        <v>111.6</v>
      </c>
      <c r="L10" s="73" t="s">
        <v>12</v>
      </c>
      <c r="M10" s="20" t="s">
        <v>11</v>
      </c>
      <c r="N10" s="73" t="s">
        <v>20</v>
      </c>
      <c r="O10" s="20" t="s">
        <v>241</v>
      </c>
    </row>
    <row r="11" spans="1:23" ht="15" thickBot="1">
      <c r="A11" s="16" t="s">
        <v>39</v>
      </c>
      <c r="B11" s="103">
        <v>140</v>
      </c>
      <c r="C11" s="104">
        <v>140</v>
      </c>
      <c r="D11" s="103">
        <v>140</v>
      </c>
      <c r="E11" s="104">
        <v>140</v>
      </c>
      <c r="F11" s="103">
        <v>140</v>
      </c>
      <c r="G11" s="104">
        <v>140</v>
      </c>
      <c r="H11" s="103">
        <v>0</v>
      </c>
      <c r="I11" s="104">
        <v>140</v>
      </c>
      <c r="J11" s="103">
        <v>140</v>
      </c>
      <c r="K11" s="104">
        <v>140</v>
      </c>
      <c r="L11" s="73" t="s">
        <v>8</v>
      </c>
      <c r="M11" s="20" t="s">
        <v>240</v>
      </c>
      <c r="N11" s="73" t="s">
        <v>20</v>
      </c>
      <c r="O11" s="20" t="s">
        <v>241</v>
      </c>
    </row>
    <row r="12" spans="1:23" ht="15" thickBot="1">
      <c r="A12" s="16" t="s">
        <v>41</v>
      </c>
      <c r="B12" s="103">
        <v>30</v>
      </c>
      <c r="C12" s="104">
        <v>30</v>
      </c>
      <c r="D12" s="103">
        <v>30</v>
      </c>
      <c r="E12" s="104">
        <v>30</v>
      </c>
      <c r="F12" s="103">
        <v>30</v>
      </c>
      <c r="G12" s="104">
        <v>30</v>
      </c>
      <c r="H12" s="103">
        <v>30</v>
      </c>
      <c r="I12" s="104">
        <v>30</v>
      </c>
      <c r="J12" s="103">
        <v>30</v>
      </c>
      <c r="K12" s="104">
        <v>30</v>
      </c>
      <c r="L12" s="73" t="s">
        <v>8</v>
      </c>
      <c r="M12" s="20" t="s">
        <v>240</v>
      </c>
      <c r="N12" s="73" t="s">
        <v>20</v>
      </c>
      <c r="O12" s="20" t="s">
        <v>241</v>
      </c>
    </row>
    <row r="13" spans="1:23" ht="15" thickBot="1">
      <c r="A13" s="16" t="s">
        <v>43</v>
      </c>
      <c r="B13" s="103">
        <v>86</v>
      </c>
      <c r="C13" s="104">
        <v>32</v>
      </c>
      <c r="D13" s="103">
        <v>54</v>
      </c>
      <c r="E13" s="104">
        <v>86</v>
      </c>
      <c r="F13" s="103">
        <v>86</v>
      </c>
      <c r="G13" s="104">
        <v>86</v>
      </c>
      <c r="H13" s="103">
        <v>86</v>
      </c>
      <c r="I13" s="104">
        <v>86</v>
      </c>
      <c r="J13" s="103">
        <v>86</v>
      </c>
      <c r="K13" s="104">
        <v>86</v>
      </c>
      <c r="L13" s="73" t="s">
        <v>8</v>
      </c>
      <c r="M13" s="20" t="s">
        <v>240</v>
      </c>
      <c r="N13" s="73" t="s">
        <v>20</v>
      </c>
      <c r="O13" s="20" t="s">
        <v>241</v>
      </c>
    </row>
    <row r="14" spans="1:23" ht="15" thickBot="1">
      <c r="A14" s="16" t="s">
        <v>46</v>
      </c>
      <c r="B14" s="103">
        <v>81</v>
      </c>
      <c r="C14" s="104">
        <v>81</v>
      </c>
      <c r="D14" s="103">
        <v>81</v>
      </c>
      <c r="E14" s="104">
        <v>81</v>
      </c>
      <c r="F14" s="103">
        <v>0</v>
      </c>
      <c r="G14" s="104">
        <v>81</v>
      </c>
      <c r="H14" s="103">
        <v>81</v>
      </c>
      <c r="I14" s="104">
        <v>81</v>
      </c>
      <c r="J14" s="103">
        <v>81</v>
      </c>
      <c r="K14" s="104">
        <v>81</v>
      </c>
      <c r="L14" s="73" t="s">
        <v>8</v>
      </c>
      <c r="M14" s="20" t="s">
        <v>240</v>
      </c>
      <c r="N14" s="73" t="s">
        <v>20</v>
      </c>
      <c r="O14" s="20" t="s">
        <v>241</v>
      </c>
    </row>
    <row r="15" spans="1:23" ht="15" thickBot="1">
      <c r="A15" s="16" t="s">
        <v>47</v>
      </c>
      <c r="B15" s="103">
        <v>43.8</v>
      </c>
      <c r="C15" s="104">
        <v>43.8</v>
      </c>
      <c r="D15" s="103">
        <v>43.8</v>
      </c>
      <c r="E15" s="104">
        <v>43.8</v>
      </c>
      <c r="F15" s="103">
        <v>43.8</v>
      </c>
      <c r="G15" s="104">
        <v>43.8</v>
      </c>
      <c r="H15" s="103">
        <v>43.8</v>
      </c>
      <c r="I15" s="104">
        <v>43.8</v>
      </c>
      <c r="J15" s="103">
        <v>43.8</v>
      </c>
      <c r="K15" s="104">
        <v>43.8</v>
      </c>
      <c r="L15" s="73" t="s">
        <v>8</v>
      </c>
      <c r="M15" s="20" t="s">
        <v>240</v>
      </c>
      <c r="N15" s="73" t="s">
        <v>20</v>
      </c>
      <c r="O15" s="20" t="s">
        <v>241</v>
      </c>
    </row>
    <row r="16" spans="1:23" ht="15" thickBot="1">
      <c r="A16" s="16" t="s">
        <v>317</v>
      </c>
      <c r="B16" s="103">
        <v>168</v>
      </c>
      <c r="C16" s="104">
        <v>168</v>
      </c>
      <c r="D16" s="103">
        <v>168</v>
      </c>
      <c r="E16" s="104">
        <v>168</v>
      </c>
      <c r="F16" s="103">
        <v>168</v>
      </c>
      <c r="G16" s="104">
        <v>168</v>
      </c>
      <c r="H16" s="103">
        <v>168</v>
      </c>
      <c r="I16" s="104">
        <v>168</v>
      </c>
      <c r="J16" s="103">
        <v>168</v>
      </c>
      <c r="K16" s="104">
        <v>168</v>
      </c>
      <c r="L16" s="73" t="s">
        <v>12</v>
      </c>
      <c r="M16" s="20" t="s">
        <v>11</v>
      </c>
      <c r="N16" s="73" t="s">
        <v>20</v>
      </c>
      <c r="O16" s="20" t="s">
        <v>241</v>
      </c>
    </row>
    <row r="17" spans="1:23" ht="15" thickBot="1">
      <c r="A17" s="16" t="s">
        <v>51</v>
      </c>
      <c r="B17" s="103">
        <v>342</v>
      </c>
      <c r="C17" s="104">
        <v>342</v>
      </c>
      <c r="D17" s="103">
        <v>285</v>
      </c>
      <c r="E17" s="104">
        <v>285</v>
      </c>
      <c r="F17" s="103">
        <v>285</v>
      </c>
      <c r="G17" s="104">
        <v>285</v>
      </c>
      <c r="H17" s="103">
        <v>285</v>
      </c>
      <c r="I17" s="104">
        <v>342</v>
      </c>
      <c r="J17" s="103">
        <v>342</v>
      </c>
      <c r="K17" s="104">
        <v>342</v>
      </c>
      <c r="L17" s="73" t="s">
        <v>8</v>
      </c>
      <c r="M17" s="20" t="s">
        <v>240</v>
      </c>
      <c r="N17" s="73" t="s">
        <v>20</v>
      </c>
      <c r="O17" s="20" t="s">
        <v>241</v>
      </c>
    </row>
    <row r="18" spans="1:23" ht="15" thickBot="1">
      <c r="A18" s="16" t="s">
        <v>53</v>
      </c>
      <c r="B18" s="103">
        <v>232</v>
      </c>
      <c r="C18" s="104">
        <v>232</v>
      </c>
      <c r="D18" s="103">
        <v>232</v>
      </c>
      <c r="E18" s="104">
        <v>232</v>
      </c>
      <c r="F18" s="103">
        <v>232</v>
      </c>
      <c r="G18" s="104">
        <v>116</v>
      </c>
      <c r="H18" s="103">
        <v>232</v>
      </c>
      <c r="I18" s="104">
        <v>116</v>
      </c>
      <c r="J18" s="103">
        <v>232</v>
      </c>
      <c r="K18" s="104">
        <v>232</v>
      </c>
      <c r="L18" s="73" t="s">
        <v>8</v>
      </c>
      <c r="M18" s="20" t="s">
        <v>240</v>
      </c>
      <c r="N18" s="73" t="s">
        <v>20</v>
      </c>
      <c r="O18" s="20" t="s">
        <v>241</v>
      </c>
    </row>
    <row r="19" spans="1:23" ht="15" thickBot="1">
      <c r="A19" s="16" t="s">
        <v>55</v>
      </c>
      <c r="B19" s="103">
        <v>0</v>
      </c>
      <c r="C19" s="104">
        <v>0</v>
      </c>
      <c r="D19" s="103">
        <v>0</v>
      </c>
      <c r="E19" s="104">
        <v>0</v>
      </c>
      <c r="F19" s="103">
        <v>0</v>
      </c>
      <c r="G19" s="104">
        <v>0</v>
      </c>
      <c r="H19" s="103">
        <v>0</v>
      </c>
      <c r="I19" s="104">
        <v>0</v>
      </c>
      <c r="J19" s="103">
        <v>0</v>
      </c>
      <c r="K19" s="104">
        <v>0</v>
      </c>
      <c r="L19" s="73" t="s">
        <v>8</v>
      </c>
      <c r="M19" s="20" t="s">
        <v>242</v>
      </c>
      <c r="N19" s="73" t="s">
        <v>20</v>
      </c>
      <c r="O19" s="20" t="s">
        <v>241</v>
      </c>
    </row>
    <row r="20" spans="1:23" ht="15" thickBot="1">
      <c r="A20" s="16" t="s">
        <v>57</v>
      </c>
      <c r="B20" s="103">
        <v>58</v>
      </c>
      <c r="C20" s="104">
        <v>58</v>
      </c>
      <c r="D20" s="103">
        <v>58</v>
      </c>
      <c r="E20" s="104">
        <v>58</v>
      </c>
      <c r="F20" s="103">
        <v>58</v>
      </c>
      <c r="G20" s="104">
        <v>58</v>
      </c>
      <c r="H20" s="103">
        <v>58</v>
      </c>
      <c r="I20" s="104">
        <v>58</v>
      </c>
      <c r="J20" s="103">
        <v>58</v>
      </c>
      <c r="K20" s="104">
        <v>58</v>
      </c>
      <c r="L20" s="73" t="s">
        <v>8</v>
      </c>
      <c r="M20" s="20" t="s">
        <v>242</v>
      </c>
      <c r="N20" s="73" t="s">
        <v>20</v>
      </c>
      <c r="O20" s="20" t="s">
        <v>241</v>
      </c>
    </row>
    <row r="21" spans="1:23" ht="15" thickBot="1">
      <c r="A21" s="16" t="s">
        <v>59</v>
      </c>
      <c r="B21" s="103">
        <v>90</v>
      </c>
      <c r="C21" s="104">
        <v>90</v>
      </c>
      <c r="D21" s="103">
        <v>90</v>
      </c>
      <c r="E21" s="104">
        <v>90</v>
      </c>
      <c r="F21" s="103">
        <v>75</v>
      </c>
      <c r="G21" s="104">
        <v>75</v>
      </c>
      <c r="H21" s="103">
        <v>75</v>
      </c>
      <c r="I21" s="104">
        <v>75</v>
      </c>
      <c r="J21" s="103">
        <v>90</v>
      </c>
      <c r="K21" s="104">
        <v>90</v>
      </c>
      <c r="L21" s="73" t="s">
        <v>8</v>
      </c>
      <c r="M21" s="20" t="s">
        <v>240</v>
      </c>
      <c r="N21" s="73" t="s">
        <v>20</v>
      </c>
      <c r="O21" s="20" t="s">
        <v>241</v>
      </c>
    </row>
    <row r="22" spans="1:23" ht="15" thickBot="1">
      <c r="A22" s="16" t="s">
        <v>61</v>
      </c>
      <c r="B22" s="103">
        <v>102.8</v>
      </c>
      <c r="C22" s="104">
        <v>81.900000000000006</v>
      </c>
      <c r="D22" s="103">
        <v>0</v>
      </c>
      <c r="E22" s="104">
        <v>102.8</v>
      </c>
      <c r="F22" s="103">
        <v>102.8</v>
      </c>
      <c r="G22" s="104">
        <v>102.8</v>
      </c>
      <c r="H22" s="103">
        <v>102.8</v>
      </c>
      <c r="I22" s="104">
        <v>102.8</v>
      </c>
      <c r="J22" s="103">
        <v>102.8</v>
      </c>
      <c r="K22" s="104">
        <v>102.8</v>
      </c>
      <c r="L22" s="73" t="s">
        <v>8</v>
      </c>
      <c r="M22" s="20" t="s">
        <v>240</v>
      </c>
      <c r="N22" s="73" t="s">
        <v>20</v>
      </c>
      <c r="O22" s="20" t="s">
        <v>241</v>
      </c>
    </row>
    <row r="23" spans="1:23" ht="15" thickBot="1">
      <c r="A23" s="16" t="s">
        <v>63</v>
      </c>
      <c r="B23" s="103">
        <v>88</v>
      </c>
      <c r="C23" s="104">
        <v>88</v>
      </c>
      <c r="D23" s="103">
        <v>88</v>
      </c>
      <c r="E23" s="104">
        <v>88</v>
      </c>
      <c r="F23" s="103">
        <v>88</v>
      </c>
      <c r="G23" s="104">
        <v>88</v>
      </c>
      <c r="H23" s="103">
        <v>88</v>
      </c>
      <c r="I23" s="104">
        <v>0</v>
      </c>
      <c r="J23" s="103">
        <v>88</v>
      </c>
      <c r="K23" s="104">
        <v>88</v>
      </c>
      <c r="L23" s="73" t="s">
        <v>8</v>
      </c>
      <c r="M23" s="20" t="s">
        <v>240</v>
      </c>
      <c r="N23" s="73" t="s">
        <v>20</v>
      </c>
      <c r="O23" s="20" t="s">
        <v>241</v>
      </c>
    </row>
    <row r="24" spans="1:23" ht="15" thickBot="1">
      <c r="A24" s="16" t="s">
        <v>65</v>
      </c>
      <c r="B24" s="103">
        <v>130.5</v>
      </c>
      <c r="C24" s="104">
        <v>104.4</v>
      </c>
      <c r="D24" s="103">
        <v>130.5</v>
      </c>
      <c r="E24" s="104">
        <v>104.4</v>
      </c>
      <c r="F24" s="103">
        <v>130.5</v>
      </c>
      <c r="G24" s="104">
        <v>130.5</v>
      </c>
      <c r="H24" s="103">
        <v>130.5</v>
      </c>
      <c r="I24" s="104">
        <v>130.5</v>
      </c>
      <c r="J24" s="103">
        <v>130.5</v>
      </c>
      <c r="K24" s="104">
        <v>130.5</v>
      </c>
      <c r="L24" s="73" t="s">
        <v>8</v>
      </c>
      <c r="M24" s="20" t="s">
        <v>240</v>
      </c>
      <c r="N24" s="73" t="s">
        <v>20</v>
      </c>
      <c r="O24" s="20" t="s">
        <v>241</v>
      </c>
    </row>
    <row r="25" spans="1:23">
      <c r="A25" s="52" t="s">
        <v>107</v>
      </c>
      <c r="B25" s="105">
        <v>0</v>
      </c>
      <c r="C25" s="106">
        <v>144</v>
      </c>
      <c r="D25" s="105">
        <v>144</v>
      </c>
      <c r="E25" s="106">
        <v>144</v>
      </c>
      <c r="F25" s="105">
        <v>144</v>
      </c>
      <c r="G25" s="106">
        <v>144</v>
      </c>
      <c r="H25" s="105">
        <v>144</v>
      </c>
      <c r="I25" s="106">
        <v>144</v>
      </c>
      <c r="J25" s="105">
        <v>144</v>
      </c>
      <c r="K25" s="106">
        <v>144</v>
      </c>
      <c r="L25" s="75" t="s">
        <v>12</v>
      </c>
      <c r="M25" s="53" t="s">
        <v>11</v>
      </c>
      <c r="N25" s="75" t="s">
        <v>20</v>
      </c>
      <c r="O25" s="53" t="s">
        <v>241</v>
      </c>
    </row>
    <row r="26" spans="1:23" ht="15" thickBot="1">
      <c r="B26" s="107"/>
      <c r="C26" s="107"/>
      <c r="D26" s="107"/>
      <c r="E26" s="107"/>
      <c r="F26" s="107"/>
      <c r="G26" s="107"/>
      <c r="H26" s="107"/>
      <c r="I26" s="107"/>
      <c r="J26" s="107"/>
      <c r="K26" s="107"/>
      <c r="P26" s="54"/>
      <c r="Q26" s="54"/>
      <c r="R26" s="54"/>
      <c r="S26" s="54"/>
      <c r="T26" s="54"/>
      <c r="U26" s="54"/>
      <c r="V26" s="54"/>
      <c r="W26" s="54"/>
    </row>
    <row r="27" spans="1:23" ht="15" thickBot="1">
      <c r="A27" s="57" t="s">
        <v>67</v>
      </c>
      <c r="B27" s="108">
        <f>SUM(sumcapsalltable[201819])</f>
        <v>2460.6999999999998</v>
      </c>
      <c r="C27" s="108">
        <f>SUM(sumcapsalltable[201920])</f>
        <v>2657.2</v>
      </c>
      <c r="D27" s="108">
        <f>SUM(sumcapsalltable[202021])</f>
        <v>2590.3999999999996</v>
      </c>
      <c r="E27" s="108">
        <f>SUM(sumcapsalltable[202122])</f>
        <v>2523.1</v>
      </c>
      <c r="F27" s="108">
        <f>SUM(sumcapsalltable[202223])</f>
        <v>2629.2</v>
      </c>
      <c r="G27" s="108">
        <f>SUM(sumcapsalltable[202324])</f>
        <v>2470.6</v>
      </c>
      <c r="H27" s="108">
        <f>SUM(sumcapsalltable[202425])</f>
        <v>2570.1999999999998</v>
      </c>
      <c r="I27" s="108">
        <f>SUM(sumcapsalltable[202526])</f>
        <v>2563.1999999999998</v>
      </c>
      <c r="J27" s="108">
        <f>SUM(sumcapsalltable[202627])</f>
        <v>2782.2</v>
      </c>
      <c r="K27" s="108">
        <f>SUM(sumcapsalltable[202728])</f>
        <v>2782.2</v>
      </c>
      <c r="L27" s="58"/>
      <c r="M27" s="54"/>
      <c r="N27" s="54"/>
      <c r="O27" s="54"/>
      <c r="P27" s="54"/>
      <c r="Q27" s="54"/>
      <c r="R27" s="54"/>
      <c r="S27" s="54"/>
      <c r="T27" s="54"/>
      <c r="U27" s="54"/>
      <c r="V27" s="54"/>
      <c r="W27" s="54"/>
    </row>
    <row r="28" spans="1:23" ht="30" customHeight="1">
      <c r="B28" s="61"/>
      <c r="C28" s="61"/>
      <c r="D28" s="61"/>
      <c r="E28" s="61"/>
      <c r="F28" s="61"/>
      <c r="G28" s="61"/>
      <c r="H28" s="61"/>
      <c r="I28" s="61"/>
      <c r="J28" s="61"/>
      <c r="K28" s="61"/>
      <c r="M28" s="54"/>
      <c r="N28" s="54"/>
      <c r="O28" s="54"/>
      <c r="P28" s="54"/>
      <c r="Q28" s="54"/>
      <c r="R28" s="54"/>
      <c r="S28" s="54"/>
      <c r="T28" s="54"/>
      <c r="U28" s="54"/>
      <c r="V28" s="54"/>
      <c r="W28" s="54"/>
    </row>
    <row r="29" spans="1:23" s="100" customFormat="1" ht="29.25" customHeight="1">
      <c r="A29" s="173" t="s">
        <v>243</v>
      </c>
      <c r="B29" s="174"/>
      <c r="C29" s="174"/>
      <c r="D29" s="174"/>
      <c r="E29" s="174"/>
      <c r="F29" s="174"/>
      <c r="G29" s="174"/>
      <c r="H29" s="174"/>
      <c r="I29" s="174"/>
      <c r="J29" s="174"/>
      <c r="K29" s="174"/>
      <c r="L29" s="174"/>
      <c r="M29" s="99"/>
      <c r="N29" s="99"/>
      <c r="O29" s="99"/>
      <c r="P29" s="99"/>
      <c r="Q29" s="99"/>
      <c r="R29" s="99"/>
      <c r="S29" s="99"/>
      <c r="T29" s="99"/>
      <c r="U29" s="99"/>
      <c r="V29" s="99"/>
      <c r="W29" s="99"/>
    </row>
    <row r="30" spans="1:23" s="100" customFormat="1" ht="45" customHeight="1">
      <c r="A30" s="173" t="s">
        <v>244</v>
      </c>
      <c r="B30" s="174"/>
      <c r="C30" s="174"/>
      <c r="D30" s="174"/>
      <c r="E30" s="174"/>
      <c r="F30" s="174"/>
      <c r="G30" s="174"/>
      <c r="H30" s="174"/>
      <c r="I30" s="174"/>
      <c r="J30" s="174"/>
      <c r="K30" s="174"/>
      <c r="L30" s="174"/>
      <c r="M30" s="99"/>
      <c r="N30" s="99"/>
      <c r="O30" s="99"/>
      <c r="P30" s="175"/>
      <c r="Q30" s="175"/>
      <c r="R30" s="175"/>
      <c r="S30" s="175"/>
      <c r="T30" s="175"/>
      <c r="U30" s="175"/>
      <c r="V30" s="175"/>
      <c r="W30" s="175"/>
    </row>
    <row r="31" spans="1:23" s="100" customFormat="1" ht="56.25" customHeight="1">
      <c r="A31" s="173" t="s">
        <v>245</v>
      </c>
      <c r="B31" s="174"/>
      <c r="C31" s="174"/>
      <c r="D31" s="174"/>
      <c r="E31" s="174"/>
      <c r="F31" s="174"/>
      <c r="G31" s="174"/>
      <c r="H31" s="174"/>
      <c r="I31" s="174"/>
      <c r="J31" s="174"/>
      <c r="K31" s="174"/>
      <c r="L31" s="174"/>
      <c r="M31" s="99"/>
      <c r="N31" s="99"/>
      <c r="O31" s="99"/>
      <c r="P31" s="175"/>
      <c r="Q31" s="175"/>
      <c r="R31" s="175"/>
      <c r="S31" s="175"/>
      <c r="T31" s="175"/>
      <c r="U31" s="175"/>
      <c r="V31" s="175"/>
      <c r="W31" s="175"/>
    </row>
    <row r="32" spans="1:23" ht="15" thickBot="1">
      <c r="M32" s="54"/>
      <c r="N32" s="54"/>
      <c r="O32" s="54"/>
      <c r="P32" s="54"/>
      <c r="Q32" s="54"/>
      <c r="R32" s="54"/>
      <c r="S32" s="54"/>
      <c r="T32" s="54"/>
      <c r="U32" s="54"/>
      <c r="V32" s="54"/>
      <c r="W32" s="54"/>
    </row>
    <row r="33" spans="1:15" ht="19.5" thickBot="1">
      <c r="A33" s="60" t="s">
        <v>246</v>
      </c>
      <c r="M33" s="54"/>
      <c r="N33" s="54"/>
      <c r="O33" s="54"/>
    </row>
    <row r="34" spans="1:15" ht="15" thickBot="1">
      <c r="A34" s="140" t="s">
        <v>237</v>
      </c>
      <c r="B34" s="140" t="s">
        <v>322</v>
      </c>
      <c r="C34" s="140" t="s">
        <v>323</v>
      </c>
      <c r="D34" s="140" t="s">
        <v>324</v>
      </c>
      <c r="E34" s="140" t="s">
        <v>325</v>
      </c>
      <c r="F34" s="140" t="s">
        <v>326</v>
      </c>
      <c r="G34" s="140" t="s">
        <v>327</v>
      </c>
      <c r="H34" s="140" t="s">
        <v>328</v>
      </c>
      <c r="I34" s="140" t="s">
        <v>329</v>
      </c>
      <c r="J34" s="140" t="s">
        <v>330</v>
      </c>
      <c r="K34" s="140" t="s">
        <v>331</v>
      </c>
      <c r="L34" s="140" t="s">
        <v>272</v>
      </c>
      <c r="M34" s="59" t="s">
        <v>238</v>
      </c>
      <c r="N34" s="59" t="s">
        <v>7</v>
      </c>
      <c r="O34" s="59" t="s">
        <v>239</v>
      </c>
    </row>
    <row r="35" spans="1:15" ht="15" thickBot="1">
      <c r="A35" s="3" t="s">
        <v>16</v>
      </c>
      <c r="B35" s="109">
        <v>81</v>
      </c>
      <c r="C35" s="110">
        <v>81</v>
      </c>
      <c r="D35" s="109">
        <v>81</v>
      </c>
      <c r="E35" s="110">
        <v>0</v>
      </c>
      <c r="F35" s="109">
        <v>81</v>
      </c>
      <c r="G35" s="110">
        <v>81</v>
      </c>
      <c r="H35" s="109">
        <v>81</v>
      </c>
      <c r="I35" s="110">
        <v>81</v>
      </c>
      <c r="J35" s="109">
        <v>81</v>
      </c>
      <c r="K35" s="110">
        <v>81</v>
      </c>
      <c r="L35" s="55" t="s">
        <v>8</v>
      </c>
      <c r="M35" s="56" t="s">
        <v>240</v>
      </c>
      <c r="N35" s="55" t="s">
        <v>20</v>
      </c>
      <c r="O35" s="56" t="s">
        <v>241</v>
      </c>
    </row>
    <row r="36" spans="1:15" ht="15" thickBot="1">
      <c r="A36" s="3" t="s">
        <v>21</v>
      </c>
      <c r="B36" s="109">
        <v>105</v>
      </c>
      <c r="C36" s="110">
        <v>105</v>
      </c>
      <c r="D36" s="109">
        <v>105</v>
      </c>
      <c r="E36" s="110">
        <v>105</v>
      </c>
      <c r="F36" s="109">
        <v>105</v>
      </c>
      <c r="G36" s="110">
        <v>105</v>
      </c>
      <c r="H36" s="109">
        <v>105</v>
      </c>
      <c r="I36" s="110">
        <v>105</v>
      </c>
      <c r="J36" s="109">
        <v>105</v>
      </c>
      <c r="K36" s="110">
        <v>105</v>
      </c>
      <c r="L36" s="55" t="s">
        <v>8</v>
      </c>
      <c r="M36" s="56" t="s">
        <v>242</v>
      </c>
      <c r="N36" s="55" t="s">
        <v>20</v>
      </c>
      <c r="O36" s="56" t="s">
        <v>241</v>
      </c>
    </row>
    <row r="37" spans="1:15" ht="15" thickBot="1">
      <c r="A37" s="3" t="s">
        <v>26</v>
      </c>
      <c r="B37" s="109">
        <v>107.8</v>
      </c>
      <c r="C37" s="110">
        <v>149.69999999999999</v>
      </c>
      <c r="D37" s="109">
        <v>173.7</v>
      </c>
      <c r="E37" s="110">
        <v>173.7</v>
      </c>
      <c r="F37" s="109">
        <v>173.7</v>
      </c>
      <c r="G37" s="110">
        <v>173.7</v>
      </c>
      <c r="H37" s="109">
        <v>173.7</v>
      </c>
      <c r="I37" s="110">
        <v>173.7</v>
      </c>
      <c r="J37" s="109">
        <v>173.7</v>
      </c>
      <c r="K37" s="110">
        <v>173.7</v>
      </c>
      <c r="L37" s="55" t="s">
        <v>8</v>
      </c>
      <c r="M37" s="56" t="s">
        <v>240</v>
      </c>
      <c r="N37" s="55" t="s">
        <v>20</v>
      </c>
      <c r="O37" s="56" t="s">
        <v>241</v>
      </c>
    </row>
    <row r="38" spans="1:15" ht="15" thickBot="1">
      <c r="A38" s="3" t="s">
        <v>28</v>
      </c>
      <c r="B38" s="109">
        <v>95</v>
      </c>
      <c r="C38" s="110">
        <v>95</v>
      </c>
      <c r="D38" s="109">
        <v>95</v>
      </c>
      <c r="E38" s="110">
        <v>0</v>
      </c>
      <c r="F38" s="109">
        <v>95</v>
      </c>
      <c r="G38" s="110">
        <v>95</v>
      </c>
      <c r="H38" s="109">
        <v>95</v>
      </c>
      <c r="I38" s="110">
        <v>95</v>
      </c>
      <c r="J38" s="109">
        <v>95</v>
      </c>
      <c r="K38" s="110">
        <v>95</v>
      </c>
      <c r="L38" s="55" t="s">
        <v>8</v>
      </c>
      <c r="M38" s="56" t="s">
        <v>240</v>
      </c>
      <c r="N38" s="55" t="s">
        <v>20</v>
      </c>
      <c r="O38" s="56" t="s">
        <v>241</v>
      </c>
    </row>
    <row r="39" spans="1:15" ht="15" thickBot="1">
      <c r="A39" s="3" t="s">
        <v>32</v>
      </c>
      <c r="B39" s="109">
        <v>63</v>
      </c>
      <c r="C39" s="110">
        <v>63</v>
      </c>
      <c r="D39" s="109">
        <v>63</v>
      </c>
      <c r="E39" s="110">
        <v>63</v>
      </c>
      <c r="F39" s="109">
        <v>63</v>
      </c>
      <c r="G39" s="110">
        <v>63</v>
      </c>
      <c r="H39" s="109">
        <v>63</v>
      </c>
      <c r="I39" s="110">
        <v>63</v>
      </c>
      <c r="J39" s="109">
        <v>63</v>
      </c>
      <c r="K39" s="110">
        <v>63</v>
      </c>
      <c r="L39" s="55" t="s">
        <v>8</v>
      </c>
      <c r="M39" s="56" t="s">
        <v>240</v>
      </c>
      <c r="N39" s="55" t="s">
        <v>20</v>
      </c>
      <c r="O39" s="56" t="s">
        <v>241</v>
      </c>
    </row>
    <row r="40" spans="1:15" ht="15" thickBot="1">
      <c r="A40" s="3" t="s">
        <v>34</v>
      </c>
      <c r="B40" s="109">
        <v>46</v>
      </c>
      <c r="C40" s="110">
        <v>46</v>
      </c>
      <c r="D40" s="109">
        <v>46</v>
      </c>
      <c r="E40" s="110">
        <v>46</v>
      </c>
      <c r="F40" s="109">
        <v>46</v>
      </c>
      <c r="G40" s="110">
        <v>46</v>
      </c>
      <c r="H40" s="109">
        <v>46</v>
      </c>
      <c r="I40" s="110">
        <v>46</v>
      </c>
      <c r="J40" s="109">
        <v>46</v>
      </c>
      <c r="K40" s="110">
        <v>46</v>
      </c>
      <c r="L40" s="55" t="s">
        <v>8</v>
      </c>
      <c r="M40" s="56" t="s">
        <v>240</v>
      </c>
      <c r="N40" s="55" t="s">
        <v>20</v>
      </c>
      <c r="O40" s="56" t="s">
        <v>241</v>
      </c>
    </row>
    <row r="41" spans="1:15" ht="15" thickBot="1">
      <c r="A41" s="3" t="s">
        <v>36</v>
      </c>
      <c r="B41" s="109">
        <v>370.79999999999995</v>
      </c>
      <c r="C41" s="110">
        <v>370.79999999999995</v>
      </c>
      <c r="D41" s="109">
        <v>370.79999999999995</v>
      </c>
      <c r="E41" s="110">
        <v>370.79999999999995</v>
      </c>
      <c r="F41" s="109">
        <v>370.79999999999995</v>
      </c>
      <c r="G41" s="110">
        <v>247.2</v>
      </c>
      <c r="H41" s="109">
        <v>370.79999999999995</v>
      </c>
      <c r="I41" s="110">
        <v>370.79999999999995</v>
      </c>
      <c r="J41" s="109">
        <v>370.79999999999995</v>
      </c>
      <c r="K41" s="110">
        <v>370.79999999999995</v>
      </c>
      <c r="L41" s="55" t="s">
        <v>8</v>
      </c>
      <c r="M41" s="56" t="s">
        <v>240</v>
      </c>
      <c r="N41" s="55" t="s">
        <v>20</v>
      </c>
      <c r="O41" s="56" t="s">
        <v>241</v>
      </c>
    </row>
    <row r="42" spans="1:15" ht="15" thickBot="1">
      <c r="A42" s="3" t="s">
        <v>39</v>
      </c>
      <c r="B42" s="109">
        <v>140</v>
      </c>
      <c r="C42" s="110">
        <v>140</v>
      </c>
      <c r="D42" s="109">
        <v>140</v>
      </c>
      <c r="E42" s="110">
        <v>140</v>
      </c>
      <c r="F42" s="109">
        <v>140</v>
      </c>
      <c r="G42" s="110">
        <v>140</v>
      </c>
      <c r="H42" s="109">
        <v>0</v>
      </c>
      <c r="I42" s="110">
        <v>140</v>
      </c>
      <c r="J42" s="109">
        <v>140</v>
      </c>
      <c r="K42" s="110">
        <v>140</v>
      </c>
      <c r="L42" s="55" t="s">
        <v>8</v>
      </c>
      <c r="M42" s="56" t="s">
        <v>240</v>
      </c>
      <c r="N42" s="55" t="s">
        <v>20</v>
      </c>
      <c r="O42" s="56" t="s">
        <v>241</v>
      </c>
    </row>
    <row r="43" spans="1:15" ht="15" thickBot="1">
      <c r="A43" s="3" t="s">
        <v>41</v>
      </c>
      <c r="B43" s="109">
        <v>30</v>
      </c>
      <c r="C43" s="110">
        <v>30</v>
      </c>
      <c r="D43" s="109">
        <v>30</v>
      </c>
      <c r="E43" s="110">
        <v>30</v>
      </c>
      <c r="F43" s="109">
        <v>30</v>
      </c>
      <c r="G43" s="110">
        <v>30</v>
      </c>
      <c r="H43" s="109">
        <v>30</v>
      </c>
      <c r="I43" s="110">
        <v>30</v>
      </c>
      <c r="J43" s="109">
        <v>30</v>
      </c>
      <c r="K43" s="110">
        <v>30</v>
      </c>
      <c r="L43" s="55" t="s">
        <v>8</v>
      </c>
      <c r="M43" s="56" t="s">
        <v>240</v>
      </c>
      <c r="N43" s="55" t="s">
        <v>20</v>
      </c>
      <c r="O43" s="56" t="s">
        <v>241</v>
      </c>
    </row>
    <row r="44" spans="1:15" ht="15" thickBot="1">
      <c r="A44" s="3" t="s">
        <v>43</v>
      </c>
      <c r="B44" s="109">
        <v>86</v>
      </c>
      <c r="C44" s="110">
        <v>32</v>
      </c>
      <c r="D44" s="109">
        <v>54</v>
      </c>
      <c r="E44" s="110">
        <v>86</v>
      </c>
      <c r="F44" s="109">
        <v>86</v>
      </c>
      <c r="G44" s="110">
        <v>86</v>
      </c>
      <c r="H44" s="109">
        <v>86</v>
      </c>
      <c r="I44" s="110">
        <v>86</v>
      </c>
      <c r="J44" s="109">
        <v>86</v>
      </c>
      <c r="K44" s="110">
        <v>86</v>
      </c>
      <c r="L44" s="55" t="s">
        <v>8</v>
      </c>
      <c r="M44" s="56" t="s">
        <v>240</v>
      </c>
      <c r="N44" s="55" t="s">
        <v>20</v>
      </c>
      <c r="O44" s="56" t="s">
        <v>241</v>
      </c>
    </row>
    <row r="45" spans="1:15" ht="15" thickBot="1">
      <c r="A45" s="3" t="s">
        <v>46</v>
      </c>
      <c r="B45" s="109">
        <v>81</v>
      </c>
      <c r="C45" s="110">
        <v>81</v>
      </c>
      <c r="D45" s="109">
        <v>81</v>
      </c>
      <c r="E45" s="110">
        <v>81</v>
      </c>
      <c r="F45" s="109">
        <v>0</v>
      </c>
      <c r="G45" s="110">
        <v>81</v>
      </c>
      <c r="H45" s="109">
        <v>81</v>
      </c>
      <c r="I45" s="110">
        <v>81</v>
      </c>
      <c r="J45" s="109">
        <v>81</v>
      </c>
      <c r="K45" s="110">
        <v>81</v>
      </c>
      <c r="L45" s="55" t="s">
        <v>8</v>
      </c>
      <c r="M45" s="56" t="s">
        <v>240</v>
      </c>
      <c r="N45" s="55" t="s">
        <v>20</v>
      </c>
      <c r="O45" s="56" t="s">
        <v>241</v>
      </c>
    </row>
    <row r="46" spans="1:15" ht="15" thickBot="1">
      <c r="A46" s="3" t="s">
        <v>47</v>
      </c>
      <c r="B46" s="109">
        <v>43.8</v>
      </c>
      <c r="C46" s="110">
        <v>43.8</v>
      </c>
      <c r="D46" s="109">
        <v>43.8</v>
      </c>
      <c r="E46" s="110">
        <v>43.8</v>
      </c>
      <c r="F46" s="109">
        <v>43.8</v>
      </c>
      <c r="G46" s="110">
        <v>43.8</v>
      </c>
      <c r="H46" s="109">
        <v>43.8</v>
      </c>
      <c r="I46" s="110">
        <v>43.8</v>
      </c>
      <c r="J46" s="109">
        <v>43.8</v>
      </c>
      <c r="K46" s="110">
        <v>43.8</v>
      </c>
      <c r="L46" s="55" t="s">
        <v>8</v>
      </c>
      <c r="M46" s="56" t="s">
        <v>240</v>
      </c>
      <c r="N46" s="55" t="s">
        <v>20</v>
      </c>
      <c r="O46" s="56" t="s">
        <v>241</v>
      </c>
    </row>
    <row r="47" spans="1:15" ht="15" thickBot="1">
      <c r="A47" s="3" t="s">
        <v>51</v>
      </c>
      <c r="B47" s="109">
        <v>342</v>
      </c>
      <c r="C47" s="110">
        <v>342</v>
      </c>
      <c r="D47" s="109">
        <v>285</v>
      </c>
      <c r="E47" s="110">
        <v>285</v>
      </c>
      <c r="F47" s="109">
        <v>285</v>
      </c>
      <c r="G47" s="110">
        <v>285</v>
      </c>
      <c r="H47" s="109">
        <v>285</v>
      </c>
      <c r="I47" s="110">
        <v>342</v>
      </c>
      <c r="J47" s="109">
        <v>342</v>
      </c>
      <c r="K47" s="110">
        <v>342</v>
      </c>
      <c r="L47" s="55" t="s">
        <v>8</v>
      </c>
      <c r="M47" s="56" t="s">
        <v>240</v>
      </c>
      <c r="N47" s="55" t="s">
        <v>20</v>
      </c>
      <c r="O47" s="56" t="s">
        <v>241</v>
      </c>
    </row>
    <row r="48" spans="1:15" ht="15" thickBot="1">
      <c r="A48" s="3" t="s">
        <v>53</v>
      </c>
      <c r="B48" s="109">
        <v>232</v>
      </c>
      <c r="C48" s="110">
        <v>232</v>
      </c>
      <c r="D48" s="109">
        <v>232</v>
      </c>
      <c r="E48" s="110">
        <v>232</v>
      </c>
      <c r="F48" s="109">
        <v>232</v>
      </c>
      <c r="G48" s="110">
        <v>116</v>
      </c>
      <c r="H48" s="109">
        <v>232</v>
      </c>
      <c r="I48" s="110">
        <v>116</v>
      </c>
      <c r="J48" s="109">
        <v>232</v>
      </c>
      <c r="K48" s="110">
        <v>232</v>
      </c>
      <c r="L48" s="55" t="s">
        <v>8</v>
      </c>
      <c r="M48" s="56" t="s">
        <v>240</v>
      </c>
      <c r="N48" s="55" t="s">
        <v>20</v>
      </c>
      <c r="O48" s="56" t="s">
        <v>241</v>
      </c>
    </row>
    <row r="49" spans="1:23" ht="15" thickBot="1">
      <c r="A49" s="3" t="s">
        <v>55</v>
      </c>
      <c r="B49" s="109">
        <v>0</v>
      </c>
      <c r="C49" s="110">
        <v>0</v>
      </c>
      <c r="D49" s="109">
        <v>0</v>
      </c>
      <c r="E49" s="110">
        <v>0</v>
      </c>
      <c r="F49" s="109">
        <v>0</v>
      </c>
      <c r="G49" s="110">
        <v>0</v>
      </c>
      <c r="H49" s="109">
        <v>0</v>
      </c>
      <c r="I49" s="110">
        <v>0</v>
      </c>
      <c r="J49" s="109">
        <v>0</v>
      </c>
      <c r="K49" s="110">
        <v>0</v>
      </c>
      <c r="L49" s="55" t="s">
        <v>8</v>
      </c>
      <c r="M49" s="56" t="s">
        <v>242</v>
      </c>
      <c r="N49" s="55" t="s">
        <v>20</v>
      </c>
      <c r="O49" s="56" t="s">
        <v>241</v>
      </c>
    </row>
    <row r="50" spans="1:23" ht="15" thickBot="1">
      <c r="A50" s="3" t="s">
        <v>57</v>
      </c>
      <c r="B50" s="109">
        <v>58</v>
      </c>
      <c r="C50" s="110">
        <v>58</v>
      </c>
      <c r="D50" s="109">
        <v>58</v>
      </c>
      <c r="E50" s="110">
        <v>58</v>
      </c>
      <c r="F50" s="109">
        <v>58</v>
      </c>
      <c r="G50" s="110">
        <v>58</v>
      </c>
      <c r="H50" s="109">
        <v>58</v>
      </c>
      <c r="I50" s="110">
        <v>58</v>
      </c>
      <c r="J50" s="109">
        <v>58</v>
      </c>
      <c r="K50" s="110">
        <v>58</v>
      </c>
      <c r="L50" s="55" t="s">
        <v>8</v>
      </c>
      <c r="M50" s="56" t="s">
        <v>242</v>
      </c>
      <c r="N50" s="55" t="s">
        <v>20</v>
      </c>
      <c r="O50" s="56" t="s">
        <v>241</v>
      </c>
    </row>
    <row r="51" spans="1:23" ht="15" thickBot="1">
      <c r="A51" s="3" t="s">
        <v>59</v>
      </c>
      <c r="B51" s="109">
        <v>90</v>
      </c>
      <c r="C51" s="110">
        <v>90</v>
      </c>
      <c r="D51" s="109">
        <v>90</v>
      </c>
      <c r="E51" s="110">
        <v>90</v>
      </c>
      <c r="F51" s="109">
        <v>75</v>
      </c>
      <c r="G51" s="110">
        <v>75</v>
      </c>
      <c r="H51" s="109">
        <v>75</v>
      </c>
      <c r="I51" s="110">
        <v>75</v>
      </c>
      <c r="J51" s="109">
        <v>90</v>
      </c>
      <c r="K51" s="110">
        <v>90</v>
      </c>
      <c r="L51" s="55" t="s">
        <v>8</v>
      </c>
      <c r="M51" s="56" t="s">
        <v>240</v>
      </c>
      <c r="N51" s="55" t="s">
        <v>20</v>
      </c>
      <c r="O51" s="56" t="s">
        <v>241</v>
      </c>
    </row>
    <row r="52" spans="1:23" ht="15" thickBot="1">
      <c r="A52" s="3" t="s">
        <v>61</v>
      </c>
      <c r="B52" s="109">
        <v>102.8</v>
      </c>
      <c r="C52" s="110">
        <v>81.900000000000006</v>
      </c>
      <c r="D52" s="109">
        <v>0</v>
      </c>
      <c r="E52" s="110">
        <v>102.8</v>
      </c>
      <c r="F52" s="109">
        <v>102.8</v>
      </c>
      <c r="G52" s="110">
        <v>102.8</v>
      </c>
      <c r="H52" s="109">
        <v>102.8</v>
      </c>
      <c r="I52" s="110">
        <v>102.8</v>
      </c>
      <c r="J52" s="109">
        <v>102.8</v>
      </c>
      <c r="K52" s="110">
        <v>102.8</v>
      </c>
      <c r="L52" s="55" t="s">
        <v>8</v>
      </c>
      <c r="M52" s="56" t="s">
        <v>240</v>
      </c>
      <c r="N52" s="55" t="s">
        <v>20</v>
      </c>
      <c r="O52" s="56" t="s">
        <v>241</v>
      </c>
    </row>
    <row r="53" spans="1:23" ht="15" thickBot="1">
      <c r="A53" s="3" t="s">
        <v>63</v>
      </c>
      <c r="B53" s="109">
        <v>88</v>
      </c>
      <c r="C53" s="110">
        <v>88</v>
      </c>
      <c r="D53" s="109">
        <v>88</v>
      </c>
      <c r="E53" s="110">
        <v>88</v>
      </c>
      <c r="F53" s="109">
        <v>88</v>
      </c>
      <c r="G53" s="110">
        <v>88</v>
      </c>
      <c r="H53" s="109">
        <v>88</v>
      </c>
      <c r="I53" s="110">
        <v>0</v>
      </c>
      <c r="J53" s="109">
        <v>88</v>
      </c>
      <c r="K53" s="110">
        <v>88</v>
      </c>
      <c r="L53" s="55" t="s">
        <v>8</v>
      </c>
      <c r="M53" s="56" t="s">
        <v>240</v>
      </c>
      <c r="N53" s="55" t="s">
        <v>20</v>
      </c>
      <c r="O53" s="56" t="s">
        <v>241</v>
      </c>
    </row>
    <row r="54" spans="1:23" ht="15" thickBot="1">
      <c r="A54" s="3" t="s">
        <v>65</v>
      </c>
      <c r="B54" s="109">
        <v>130.5</v>
      </c>
      <c r="C54" s="110">
        <v>104.4</v>
      </c>
      <c r="D54" s="109">
        <v>130.5</v>
      </c>
      <c r="E54" s="110">
        <v>104.4</v>
      </c>
      <c r="F54" s="109">
        <v>130.5</v>
      </c>
      <c r="G54" s="110">
        <v>130.5</v>
      </c>
      <c r="H54" s="109">
        <v>130.5</v>
      </c>
      <c r="I54" s="110">
        <v>130.5</v>
      </c>
      <c r="J54" s="109">
        <v>130.5</v>
      </c>
      <c r="K54" s="110">
        <v>130.5</v>
      </c>
      <c r="L54" s="55" t="s">
        <v>8</v>
      </c>
      <c r="M54" s="56" t="s">
        <v>240</v>
      </c>
      <c r="N54" s="55" t="s">
        <v>20</v>
      </c>
      <c r="O54" s="56" t="s">
        <v>241</v>
      </c>
    </row>
    <row r="55" spans="1:23" ht="15" thickBot="1">
      <c r="B55" s="107"/>
      <c r="C55" s="107"/>
      <c r="D55" s="107"/>
      <c r="E55" s="107"/>
      <c r="F55" s="107"/>
      <c r="G55" s="107"/>
      <c r="H55" s="107"/>
      <c r="I55" s="107"/>
      <c r="J55" s="107"/>
      <c r="K55" s="107"/>
      <c r="P55" s="54"/>
      <c r="Q55" s="54"/>
      <c r="R55" s="54"/>
      <c r="S55" s="54"/>
      <c r="T55" s="54"/>
      <c r="U55" s="54"/>
      <c r="V55" s="54"/>
      <c r="W55" s="54"/>
    </row>
    <row r="56" spans="1:23" ht="15" thickBot="1">
      <c r="A56" s="3" t="s">
        <v>247</v>
      </c>
      <c r="B56" s="108">
        <f>SUMIF(sumcapsSStable[[FuelType]:[FuelType]],"Wind",sumcapsSStable[201819])*0.105</f>
        <v>17.64</v>
      </c>
      <c r="C56" s="108">
        <f>SUMIF(sumcapsSStable[[FuelType]:[FuelType]],"Wind",sumcapsSStable[201920])*0.105</f>
        <v>44.478000000000002</v>
      </c>
      <c r="D56" s="108">
        <f>SUMIF(sumcapsSStable[[FuelType]:[FuelType]],"Wind",sumcapsSStable[202021])*0.105</f>
        <v>44.478000000000002</v>
      </c>
      <c r="E56" s="108">
        <f>SUMIF(sumcapsSStable[[FuelType]:[FuelType]],"Wind",sumcapsSStable[202122])*0.105</f>
        <v>44.478000000000002</v>
      </c>
      <c r="F56" s="108">
        <f>SUMIF(sumcapsSStable[[FuelType]:[FuelType]],"Wind",sumcapsSStable[202223])*0.105</f>
        <v>44.478000000000002</v>
      </c>
      <c r="G56" s="108">
        <f>SUMIF(sumcapsSStable[[FuelType]:[FuelType]],"Wind",sumcapsSStable[202324])*0.105</f>
        <v>44.478000000000002</v>
      </c>
      <c r="H56" s="108">
        <f>SUMIF(sumcapsSStable[[FuelType]:[FuelType]],"Wind",sumcapsSStable[202425])*0.105</f>
        <v>44.478000000000002</v>
      </c>
      <c r="I56" s="108">
        <f>SUMIF(sumcapsSStable[[FuelType]:[FuelType]],"Wind",sumcapsSStable[202526])*0.105</f>
        <v>44.478000000000002</v>
      </c>
      <c r="J56" s="108">
        <f>SUMIF(sumcapsSStable[[FuelType]:[FuelType]],"Wind",sumcapsSStable[202627])*0.105</f>
        <v>44.478000000000002</v>
      </c>
      <c r="K56" s="108">
        <f>SUMIF(sumcapsSStable[[FuelType]:[FuelType]],"Wind",sumcapsSStable[202728])*0.105</f>
        <v>44.478000000000002</v>
      </c>
      <c r="L56" s="55" t="s">
        <v>12</v>
      </c>
      <c r="M56" s="54"/>
      <c r="N56" s="54"/>
      <c r="O56" s="54"/>
      <c r="P56" s="54"/>
      <c r="Q56" s="54"/>
      <c r="R56" s="54"/>
      <c r="S56" s="54"/>
      <c r="T56" s="54"/>
      <c r="U56" s="54"/>
      <c r="V56" s="54"/>
      <c r="W56" s="54"/>
    </row>
    <row r="57" spans="1:23" ht="15" thickBot="1">
      <c r="A57" s="57" t="s">
        <v>67</v>
      </c>
      <c r="B57" s="108">
        <f>SUM(sumcapsStable[201819])+B56</f>
        <v>2310.3399999999997</v>
      </c>
      <c r="C57" s="108">
        <f>SUM(sumcapsStable[201920])+C56</f>
        <v>2278.078</v>
      </c>
      <c r="D57" s="108">
        <f>SUM(sumcapsStable[202021])+D56</f>
        <v>2211.2780000000002</v>
      </c>
      <c r="E57" s="108">
        <f>SUM(sumcapsStable[202122])+E56</f>
        <v>2143.9780000000001</v>
      </c>
      <c r="F57" s="108">
        <f>SUM(sumcapsStable[202223])+F56</f>
        <v>2250.078</v>
      </c>
      <c r="G57" s="108">
        <f>SUM(sumcapsStable[202324])+G56</f>
        <v>2091.4780000000001</v>
      </c>
      <c r="H57" s="108">
        <f>SUM(sumcapsStable[202425])+H56</f>
        <v>2191.078</v>
      </c>
      <c r="I57" s="108">
        <f>SUM(sumcapsStable[202526])+I56</f>
        <v>2184.078</v>
      </c>
      <c r="J57" s="108">
        <f>SUM(sumcapsStable[202627])+J56</f>
        <v>2403.078</v>
      </c>
      <c r="K57" s="108">
        <f>SUM(sumcapsStable[202728])+K56</f>
        <v>2403.078</v>
      </c>
      <c r="L57" s="58"/>
      <c r="M57" s="54"/>
      <c r="N57" s="54"/>
      <c r="O57" s="54"/>
      <c r="P57" s="54"/>
      <c r="Q57" s="54"/>
      <c r="R57" s="54"/>
      <c r="S57" s="54"/>
      <c r="T57" s="54"/>
      <c r="U57" s="54"/>
      <c r="V57" s="54"/>
      <c r="W57" s="54"/>
    </row>
    <row r="58" spans="1:23" ht="15" thickBot="1">
      <c r="B58" s="61"/>
      <c r="C58" s="61"/>
      <c r="D58" s="61"/>
      <c r="E58" s="61"/>
      <c r="F58" s="61"/>
      <c r="G58" s="61"/>
      <c r="H58" s="61"/>
      <c r="I58" s="61"/>
      <c r="J58" s="61"/>
      <c r="K58" s="61"/>
      <c r="M58" s="54"/>
      <c r="N58" s="54"/>
      <c r="O58" s="54"/>
      <c r="P58" s="54"/>
      <c r="Q58" s="54"/>
      <c r="R58" s="54"/>
      <c r="S58" s="54"/>
      <c r="T58" s="54"/>
      <c r="U58" s="54"/>
      <c r="V58" s="54"/>
      <c r="W58" s="54"/>
    </row>
    <row r="59" spans="1:23" s="62" customFormat="1" ht="19.5" thickBot="1">
      <c r="A59" s="60" t="s">
        <v>248</v>
      </c>
      <c r="B59" s="30"/>
      <c r="C59" s="30"/>
      <c r="D59" s="30"/>
      <c r="E59" s="30"/>
      <c r="F59" s="30"/>
      <c r="G59" s="30"/>
      <c r="H59" s="30"/>
      <c r="I59" s="30"/>
      <c r="J59" s="30"/>
      <c r="K59" s="30"/>
      <c r="L59" s="30"/>
      <c r="M59" s="54"/>
      <c r="N59" s="54"/>
      <c r="O59" s="54"/>
    </row>
    <row r="60" spans="1:23" ht="15" thickBot="1">
      <c r="A60" s="140" t="s">
        <v>237</v>
      </c>
      <c r="B60" s="140" t="s">
        <v>322</v>
      </c>
      <c r="C60" s="140" t="s">
        <v>323</v>
      </c>
      <c r="D60" s="140" t="s">
        <v>324</v>
      </c>
      <c r="E60" s="140" t="s">
        <v>325</v>
      </c>
      <c r="F60" s="140" t="s">
        <v>326</v>
      </c>
      <c r="G60" s="140" t="s">
        <v>327</v>
      </c>
      <c r="H60" s="140" t="s">
        <v>328</v>
      </c>
      <c r="I60" s="140" t="s">
        <v>329</v>
      </c>
      <c r="J60" s="140" t="s">
        <v>330</v>
      </c>
      <c r="K60" s="140" t="s">
        <v>331</v>
      </c>
      <c r="L60" s="140" t="s">
        <v>272</v>
      </c>
      <c r="M60" s="59" t="s">
        <v>238</v>
      </c>
      <c r="N60" s="59" t="s">
        <v>7</v>
      </c>
      <c r="O60" s="59" t="s">
        <v>239</v>
      </c>
    </row>
    <row r="61" spans="1:23" ht="15" thickBot="1">
      <c r="A61" s="17" t="s">
        <v>97</v>
      </c>
      <c r="B61" s="101">
        <v>0</v>
      </c>
      <c r="C61" s="102">
        <v>111.6</v>
      </c>
      <c r="D61" s="101">
        <v>111.6</v>
      </c>
      <c r="E61" s="102">
        <v>111.6</v>
      </c>
      <c r="F61" s="101">
        <v>111.6</v>
      </c>
      <c r="G61" s="102">
        <v>111.6</v>
      </c>
      <c r="H61" s="101">
        <v>111.6</v>
      </c>
      <c r="I61" s="102">
        <v>111.6</v>
      </c>
      <c r="J61" s="101">
        <v>111.6</v>
      </c>
      <c r="K61" s="102">
        <v>111.6</v>
      </c>
      <c r="L61" s="74" t="s">
        <v>12</v>
      </c>
      <c r="M61" s="21" t="s">
        <v>11</v>
      </c>
      <c r="N61" s="74" t="s">
        <v>20</v>
      </c>
      <c r="O61" s="21" t="s">
        <v>241</v>
      </c>
    </row>
    <row r="62" spans="1:23" ht="15" thickBot="1">
      <c r="A62" s="16" t="s">
        <v>317</v>
      </c>
      <c r="B62" s="103">
        <v>168</v>
      </c>
      <c r="C62" s="104">
        <v>168</v>
      </c>
      <c r="D62" s="103">
        <v>168</v>
      </c>
      <c r="E62" s="104">
        <v>168</v>
      </c>
      <c r="F62" s="103">
        <v>168</v>
      </c>
      <c r="G62" s="104">
        <v>168</v>
      </c>
      <c r="H62" s="103">
        <v>168</v>
      </c>
      <c r="I62" s="104">
        <v>168</v>
      </c>
      <c r="J62" s="103">
        <v>168</v>
      </c>
      <c r="K62" s="104">
        <v>168</v>
      </c>
      <c r="L62" s="73" t="s">
        <v>12</v>
      </c>
      <c r="M62" s="20" t="s">
        <v>11</v>
      </c>
      <c r="N62" s="73" t="s">
        <v>20</v>
      </c>
      <c r="O62" s="20" t="s">
        <v>241</v>
      </c>
    </row>
    <row r="63" spans="1:23">
      <c r="A63" s="52" t="s">
        <v>107</v>
      </c>
      <c r="B63" s="105">
        <v>0</v>
      </c>
      <c r="C63" s="106">
        <v>144</v>
      </c>
      <c r="D63" s="105">
        <v>144</v>
      </c>
      <c r="E63" s="106">
        <v>144</v>
      </c>
      <c r="F63" s="105">
        <v>144</v>
      </c>
      <c r="G63" s="106">
        <v>144</v>
      </c>
      <c r="H63" s="105">
        <v>144</v>
      </c>
      <c r="I63" s="106">
        <v>144</v>
      </c>
      <c r="J63" s="105">
        <v>144</v>
      </c>
      <c r="K63" s="106">
        <v>144</v>
      </c>
      <c r="L63" s="75" t="s">
        <v>12</v>
      </c>
      <c r="M63" s="53" t="s">
        <v>11</v>
      </c>
      <c r="N63" s="75" t="s">
        <v>20</v>
      </c>
      <c r="O63" s="53" t="s">
        <v>241</v>
      </c>
      <c r="P63" s="54"/>
      <c r="Q63" s="54"/>
      <c r="R63" s="54"/>
      <c r="S63" s="54"/>
      <c r="T63" s="54"/>
      <c r="U63" s="54"/>
      <c r="V63" s="54"/>
      <c r="W63" s="54"/>
    </row>
    <row r="64" spans="1:23" ht="15" thickBot="1">
      <c r="B64" s="107"/>
      <c r="C64" s="107"/>
      <c r="D64" s="107"/>
      <c r="E64" s="107"/>
      <c r="F64" s="107"/>
      <c r="G64" s="107"/>
      <c r="H64" s="107"/>
      <c r="I64" s="107"/>
      <c r="J64" s="107"/>
      <c r="K64" s="107"/>
    </row>
    <row r="65" spans="1:15" ht="15" thickBot="1">
      <c r="A65" s="57" t="s">
        <v>249</v>
      </c>
      <c r="B65" s="108">
        <f>SUMIF(sumcapsSStable[[FuelType]:[FuelType]],"Wind",sumcapsSStable[201819])</f>
        <v>168</v>
      </c>
      <c r="C65" s="108">
        <f>SUMIF(sumcapsSStable[[FuelType]:[FuelType]],"Wind",sumcapsSStable[201920])</f>
        <v>423.6</v>
      </c>
      <c r="D65" s="108">
        <f>SUMIF(sumcapsSStable[[FuelType]:[FuelType]],"Wind",sumcapsSStable[202021])</f>
        <v>423.6</v>
      </c>
      <c r="E65" s="108">
        <f>SUMIF(sumcapsSStable[[FuelType]:[FuelType]],"Wind",sumcapsSStable[202122])</f>
        <v>423.6</v>
      </c>
      <c r="F65" s="108">
        <f>SUMIF(sumcapsSStable[[FuelType]:[FuelType]],"Wind",sumcapsSStable[202223])</f>
        <v>423.6</v>
      </c>
      <c r="G65" s="108">
        <f>SUMIF(sumcapsSStable[[FuelType]:[FuelType]],"Wind",sumcapsSStable[202324])</f>
        <v>423.6</v>
      </c>
      <c r="H65" s="108">
        <f>SUMIF(sumcapsSStable[[FuelType]:[FuelType]],"Wind",sumcapsSStable[202425])</f>
        <v>423.6</v>
      </c>
      <c r="I65" s="108">
        <f>SUMIF(sumcapsSStable[[FuelType]:[FuelType]],"Wind",sumcapsSStable[202526])</f>
        <v>423.6</v>
      </c>
      <c r="J65" s="108">
        <f>SUMIF(sumcapsSStable[[FuelType]:[FuelType]],"Wind",sumcapsSStable[202627])</f>
        <v>423.6</v>
      </c>
      <c r="K65" s="108">
        <f>SUMIF(sumcapsSStable[[FuelType]:[FuelType]],"Wind",sumcapsSStable[202728])</f>
        <v>423.6</v>
      </c>
      <c r="L65" s="58"/>
      <c r="M65" s="54"/>
      <c r="N65" s="54"/>
      <c r="O65" s="54"/>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5"/>
  <sheetViews>
    <sheetView workbookViewId="0"/>
  </sheetViews>
  <sheetFormatPr defaultColWidth="9.1796875" defaultRowHeight="14.5"/>
  <cols>
    <col min="1" max="1" width="25.7265625" style="30" bestFit="1" customWidth="1"/>
    <col min="2" max="11" width="9" style="30" bestFit="1" customWidth="1"/>
    <col min="12" max="12" width="16.1796875" style="30" bestFit="1" customWidth="1"/>
    <col min="13" max="13" width="12.7265625" style="30" hidden="1" customWidth="1"/>
    <col min="14" max="14" width="11" style="30" hidden="1" customWidth="1"/>
    <col min="15" max="15" width="11.453125" style="30" hidden="1" customWidth="1"/>
    <col min="16" max="16384" width="9.1796875" style="30"/>
  </cols>
  <sheetData>
    <row r="1" spans="1:23" ht="19.5" thickBot="1">
      <c r="A1" s="60" t="s">
        <v>250</v>
      </c>
      <c r="M1" s="54"/>
      <c r="N1" s="54"/>
      <c r="O1" s="54"/>
      <c r="P1" s="54"/>
      <c r="Q1" s="54"/>
      <c r="R1" s="54"/>
      <c r="S1" s="54"/>
      <c r="T1" s="54"/>
      <c r="U1" s="54"/>
      <c r="V1" s="54"/>
      <c r="W1" s="54"/>
    </row>
    <row r="2" spans="1:23" ht="15" thickBot="1">
      <c r="A2" s="98" t="s">
        <v>237</v>
      </c>
      <c r="B2" s="98" t="s">
        <v>273</v>
      </c>
      <c r="C2" s="98" t="s">
        <v>274</v>
      </c>
      <c r="D2" s="98" t="s">
        <v>275</v>
      </c>
      <c r="E2" s="98" t="s">
        <v>276</v>
      </c>
      <c r="F2" s="98" t="s">
        <v>277</v>
      </c>
      <c r="G2" s="98" t="s">
        <v>278</v>
      </c>
      <c r="H2" s="98" t="s">
        <v>279</v>
      </c>
      <c r="I2" s="98" t="s">
        <v>280</v>
      </c>
      <c r="J2" s="98" t="s">
        <v>281</v>
      </c>
      <c r="K2" s="98" t="s">
        <v>282</v>
      </c>
      <c r="L2" s="98" t="s">
        <v>272</v>
      </c>
      <c r="M2" s="66" t="s">
        <v>238</v>
      </c>
      <c r="N2" s="66" t="s">
        <v>7</v>
      </c>
      <c r="O2" s="67" t="s">
        <v>239</v>
      </c>
    </row>
    <row r="3" spans="1:23" ht="15" thickBot="1">
      <c r="A3" s="77" t="s">
        <v>16</v>
      </c>
      <c r="B3" s="101">
        <v>81</v>
      </c>
      <c r="C3" s="102">
        <v>81</v>
      </c>
      <c r="D3" s="101">
        <v>81</v>
      </c>
      <c r="E3" s="102">
        <v>81</v>
      </c>
      <c r="F3" s="101">
        <v>81</v>
      </c>
      <c r="G3" s="102">
        <v>81</v>
      </c>
      <c r="H3" s="101">
        <v>81</v>
      </c>
      <c r="I3" s="102">
        <v>81</v>
      </c>
      <c r="J3" s="101">
        <v>81</v>
      </c>
      <c r="K3" s="102">
        <v>81</v>
      </c>
      <c r="L3" s="74" t="s">
        <v>8</v>
      </c>
      <c r="M3" s="21" t="s">
        <v>240</v>
      </c>
      <c r="N3" s="74" t="s">
        <v>20</v>
      </c>
      <c r="O3" s="80" t="s">
        <v>251</v>
      </c>
    </row>
    <row r="4" spans="1:23" ht="15" thickBot="1">
      <c r="A4" s="76" t="s">
        <v>21</v>
      </c>
      <c r="B4" s="103">
        <v>105</v>
      </c>
      <c r="C4" s="104">
        <v>105</v>
      </c>
      <c r="D4" s="103">
        <v>105</v>
      </c>
      <c r="E4" s="104">
        <v>105</v>
      </c>
      <c r="F4" s="103">
        <v>105</v>
      </c>
      <c r="G4" s="104">
        <v>105</v>
      </c>
      <c r="H4" s="103">
        <v>105</v>
      </c>
      <c r="I4" s="104">
        <v>105</v>
      </c>
      <c r="J4" s="103">
        <v>105</v>
      </c>
      <c r="K4" s="104">
        <v>105</v>
      </c>
      <c r="L4" s="73" t="s">
        <v>8</v>
      </c>
      <c r="M4" s="20" t="s">
        <v>242</v>
      </c>
      <c r="N4" s="73" t="s">
        <v>20</v>
      </c>
      <c r="O4" s="79" t="s">
        <v>251</v>
      </c>
    </row>
    <row r="5" spans="1:23" ht="15" thickBot="1">
      <c r="A5" s="76" t="s">
        <v>26</v>
      </c>
      <c r="B5" s="103">
        <v>173.7</v>
      </c>
      <c r="C5" s="104">
        <v>173.7</v>
      </c>
      <c r="D5" s="103">
        <v>173.7</v>
      </c>
      <c r="E5" s="104">
        <v>173.7</v>
      </c>
      <c r="F5" s="103">
        <v>173.7</v>
      </c>
      <c r="G5" s="104">
        <v>173.7</v>
      </c>
      <c r="H5" s="103">
        <v>173.7</v>
      </c>
      <c r="I5" s="104">
        <v>173.7</v>
      </c>
      <c r="J5" s="103">
        <v>173.7</v>
      </c>
      <c r="K5" s="104">
        <v>173.7</v>
      </c>
      <c r="L5" s="73" t="s">
        <v>8</v>
      </c>
      <c r="M5" s="20" t="s">
        <v>240</v>
      </c>
      <c r="N5" s="73" t="s">
        <v>20</v>
      </c>
      <c r="O5" s="79" t="s">
        <v>251</v>
      </c>
    </row>
    <row r="6" spans="1:23" ht="15" thickBot="1">
      <c r="A6" s="76" t="s">
        <v>28</v>
      </c>
      <c r="B6" s="103">
        <v>95</v>
      </c>
      <c r="C6" s="104">
        <v>95</v>
      </c>
      <c r="D6" s="103">
        <v>95</v>
      </c>
      <c r="E6" s="104">
        <v>95</v>
      </c>
      <c r="F6" s="103">
        <v>95</v>
      </c>
      <c r="G6" s="104">
        <v>95</v>
      </c>
      <c r="H6" s="103">
        <v>95</v>
      </c>
      <c r="I6" s="104">
        <v>95</v>
      </c>
      <c r="J6" s="103">
        <v>95</v>
      </c>
      <c r="K6" s="104">
        <v>95</v>
      </c>
      <c r="L6" s="73" t="s">
        <v>8</v>
      </c>
      <c r="M6" s="20" t="s">
        <v>240</v>
      </c>
      <c r="N6" s="73" t="s">
        <v>20</v>
      </c>
      <c r="O6" s="79" t="s">
        <v>251</v>
      </c>
    </row>
    <row r="7" spans="1:23" ht="15" thickBot="1">
      <c r="A7" s="76" t="s">
        <v>32</v>
      </c>
      <c r="B7" s="103">
        <v>63</v>
      </c>
      <c r="C7" s="104">
        <v>63</v>
      </c>
      <c r="D7" s="103">
        <v>63</v>
      </c>
      <c r="E7" s="104">
        <v>63</v>
      </c>
      <c r="F7" s="103">
        <v>63</v>
      </c>
      <c r="G7" s="104">
        <v>63</v>
      </c>
      <c r="H7" s="103">
        <v>63</v>
      </c>
      <c r="I7" s="104">
        <v>63</v>
      </c>
      <c r="J7" s="103">
        <v>63</v>
      </c>
      <c r="K7" s="104">
        <v>63</v>
      </c>
      <c r="L7" s="73" t="s">
        <v>8</v>
      </c>
      <c r="M7" s="20" t="s">
        <v>240</v>
      </c>
      <c r="N7" s="73" t="s">
        <v>20</v>
      </c>
      <c r="O7" s="79" t="s">
        <v>251</v>
      </c>
    </row>
    <row r="8" spans="1:23" ht="15" thickBot="1">
      <c r="A8" s="76" t="s">
        <v>34</v>
      </c>
      <c r="B8" s="103">
        <v>46</v>
      </c>
      <c r="C8" s="104">
        <v>46</v>
      </c>
      <c r="D8" s="103">
        <v>46</v>
      </c>
      <c r="E8" s="104">
        <v>46</v>
      </c>
      <c r="F8" s="103">
        <v>46</v>
      </c>
      <c r="G8" s="104">
        <v>46</v>
      </c>
      <c r="H8" s="103">
        <v>46</v>
      </c>
      <c r="I8" s="104">
        <v>46</v>
      </c>
      <c r="J8" s="103">
        <v>46</v>
      </c>
      <c r="K8" s="104">
        <v>46</v>
      </c>
      <c r="L8" s="73" t="s">
        <v>8</v>
      </c>
      <c r="M8" s="20" t="s">
        <v>240</v>
      </c>
      <c r="N8" s="73" t="s">
        <v>20</v>
      </c>
      <c r="O8" s="79" t="s">
        <v>251</v>
      </c>
    </row>
    <row r="9" spans="1:23" ht="15" thickBot="1">
      <c r="A9" s="76" t="s">
        <v>36</v>
      </c>
      <c r="B9" s="103">
        <v>370.79999999999995</v>
      </c>
      <c r="C9" s="104">
        <v>370.79999999999995</v>
      </c>
      <c r="D9" s="103">
        <v>370.79999999999995</v>
      </c>
      <c r="E9" s="104">
        <v>370.79999999999995</v>
      </c>
      <c r="F9" s="103">
        <v>370.79999999999995</v>
      </c>
      <c r="G9" s="104">
        <v>370.79999999999995</v>
      </c>
      <c r="H9" s="103">
        <v>370.79999999999995</v>
      </c>
      <c r="I9" s="104">
        <v>370.79999999999995</v>
      </c>
      <c r="J9" s="103">
        <v>370.79999999999995</v>
      </c>
      <c r="K9" s="104">
        <v>370.79999999999995</v>
      </c>
      <c r="L9" s="73" t="s">
        <v>8</v>
      </c>
      <c r="M9" s="20" t="s">
        <v>240</v>
      </c>
      <c r="N9" s="73" t="s">
        <v>20</v>
      </c>
      <c r="O9" s="79" t="s">
        <v>251</v>
      </c>
    </row>
    <row r="10" spans="1:23" ht="20.5" thickBot="1">
      <c r="A10" s="76" t="s">
        <v>332</v>
      </c>
      <c r="B10" s="103">
        <v>0</v>
      </c>
      <c r="C10" s="104">
        <v>111.6</v>
      </c>
      <c r="D10" s="103">
        <v>111.6</v>
      </c>
      <c r="E10" s="104">
        <v>111.6</v>
      </c>
      <c r="F10" s="103">
        <v>111.6</v>
      </c>
      <c r="G10" s="104">
        <v>111.6</v>
      </c>
      <c r="H10" s="103">
        <v>111.6</v>
      </c>
      <c r="I10" s="104">
        <v>111.6</v>
      </c>
      <c r="J10" s="103">
        <v>111.6</v>
      </c>
      <c r="K10" s="104">
        <v>111.6</v>
      </c>
      <c r="L10" s="73" t="s">
        <v>12</v>
      </c>
      <c r="M10" s="20" t="s">
        <v>11</v>
      </c>
      <c r="N10" s="73" t="s">
        <v>20</v>
      </c>
      <c r="O10" s="79" t="s">
        <v>251</v>
      </c>
    </row>
    <row r="11" spans="1:23" ht="15" thickBot="1">
      <c r="A11" s="76" t="s">
        <v>39</v>
      </c>
      <c r="B11" s="103">
        <v>140</v>
      </c>
      <c r="C11" s="104">
        <v>140</v>
      </c>
      <c r="D11" s="103">
        <v>140</v>
      </c>
      <c r="E11" s="104">
        <v>140</v>
      </c>
      <c r="F11" s="103">
        <v>140</v>
      </c>
      <c r="G11" s="104">
        <v>140</v>
      </c>
      <c r="H11" s="103">
        <v>0</v>
      </c>
      <c r="I11" s="104">
        <v>140</v>
      </c>
      <c r="J11" s="103">
        <v>140</v>
      </c>
      <c r="K11" s="104">
        <v>140</v>
      </c>
      <c r="L11" s="73" t="s">
        <v>8</v>
      </c>
      <c r="M11" s="20" t="s">
        <v>240</v>
      </c>
      <c r="N11" s="73" t="s">
        <v>20</v>
      </c>
      <c r="O11" s="79" t="s">
        <v>251</v>
      </c>
    </row>
    <row r="12" spans="1:23" ht="15" thickBot="1">
      <c r="A12" s="76" t="s">
        <v>41</v>
      </c>
      <c r="B12" s="103">
        <v>0</v>
      </c>
      <c r="C12" s="104">
        <v>0</v>
      </c>
      <c r="D12" s="103">
        <v>30</v>
      </c>
      <c r="E12" s="104">
        <v>30</v>
      </c>
      <c r="F12" s="103">
        <v>30</v>
      </c>
      <c r="G12" s="104">
        <v>0</v>
      </c>
      <c r="H12" s="103">
        <v>30</v>
      </c>
      <c r="I12" s="104">
        <v>30</v>
      </c>
      <c r="J12" s="103">
        <v>30</v>
      </c>
      <c r="K12" s="104">
        <v>30</v>
      </c>
      <c r="L12" s="73" t="s">
        <v>8</v>
      </c>
      <c r="M12" s="20" t="s">
        <v>240</v>
      </c>
      <c r="N12" s="73" t="s">
        <v>20</v>
      </c>
      <c r="O12" s="79" t="s">
        <v>251</v>
      </c>
    </row>
    <row r="13" spans="1:23" ht="15" thickBot="1">
      <c r="A13" s="76" t="s">
        <v>43</v>
      </c>
      <c r="B13" s="103">
        <v>86</v>
      </c>
      <c r="C13" s="104">
        <v>86</v>
      </c>
      <c r="D13" s="103">
        <v>86</v>
      </c>
      <c r="E13" s="104">
        <v>86</v>
      </c>
      <c r="F13" s="103">
        <v>86</v>
      </c>
      <c r="G13" s="104">
        <v>86</v>
      </c>
      <c r="H13" s="103">
        <v>86</v>
      </c>
      <c r="I13" s="104">
        <v>86</v>
      </c>
      <c r="J13" s="103">
        <v>86</v>
      </c>
      <c r="K13" s="104">
        <v>86</v>
      </c>
      <c r="L13" s="73" t="s">
        <v>8</v>
      </c>
      <c r="M13" s="20" t="s">
        <v>240</v>
      </c>
      <c r="N13" s="73" t="s">
        <v>20</v>
      </c>
      <c r="O13" s="79" t="s">
        <v>251</v>
      </c>
    </row>
    <row r="14" spans="1:23" ht="15" thickBot="1">
      <c r="A14" s="76" t="s">
        <v>46</v>
      </c>
      <c r="B14" s="103">
        <v>81</v>
      </c>
      <c r="C14" s="104">
        <v>81</v>
      </c>
      <c r="D14" s="103">
        <v>81</v>
      </c>
      <c r="E14" s="104">
        <v>81</v>
      </c>
      <c r="F14" s="103">
        <v>81</v>
      </c>
      <c r="G14" s="104">
        <v>81</v>
      </c>
      <c r="H14" s="103">
        <v>81</v>
      </c>
      <c r="I14" s="104">
        <v>81</v>
      </c>
      <c r="J14" s="103">
        <v>81</v>
      </c>
      <c r="K14" s="104">
        <v>81</v>
      </c>
      <c r="L14" s="73" t="s">
        <v>8</v>
      </c>
      <c r="M14" s="20" t="s">
        <v>240</v>
      </c>
      <c r="N14" s="73" t="s">
        <v>20</v>
      </c>
      <c r="O14" s="79" t="s">
        <v>251</v>
      </c>
    </row>
    <row r="15" spans="1:23" ht="15" thickBot="1">
      <c r="A15" s="76" t="s">
        <v>47</v>
      </c>
      <c r="B15" s="103">
        <v>43.8</v>
      </c>
      <c r="C15" s="104">
        <v>43.8</v>
      </c>
      <c r="D15" s="103">
        <v>43.8</v>
      </c>
      <c r="E15" s="104">
        <v>43.8</v>
      </c>
      <c r="F15" s="103">
        <v>43.8</v>
      </c>
      <c r="G15" s="104">
        <v>43.8</v>
      </c>
      <c r="H15" s="103">
        <v>43.8</v>
      </c>
      <c r="I15" s="104">
        <v>43.8</v>
      </c>
      <c r="J15" s="103">
        <v>43.8</v>
      </c>
      <c r="K15" s="104">
        <v>43.8</v>
      </c>
      <c r="L15" s="73" t="s">
        <v>8</v>
      </c>
      <c r="M15" s="20" t="s">
        <v>240</v>
      </c>
      <c r="N15" s="73" t="s">
        <v>20</v>
      </c>
      <c r="O15" s="79" t="s">
        <v>251</v>
      </c>
    </row>
    <row r="16" spans="1:23" ht="15" thickBot="1">
      <c r="A16" s="76" t="s">
        <v>317</v>
      </c>
      <c r="B16" s="103">
        <v>168</v>
      </c>
      <c r="C16" s="104">
        <v>168</v>
      </c>
      <c r="D16" s="103">
        <v>168</v>
      </c>
      <c r="E16" s="104">
        <v>168</v>
      </c>
      <c r="F16" s="103">
        <v>168</v>
      </c>
      <c r="G16" s="104">
        <v>168</v>
      </c>
      <c r="H16" s="103">
        <v>168</v>
      </c>
      <c r="I16" s="104">
        <v>168</v>
      </c>
      <c r="J16" s="103">
        <v>168</v>
      </c>
      <c r="K16" s="104">
        <v>168</v>
      </c>
      <c r="L16" s="73" t="s">
        <v>12</v>
      </c>
      <c r="M16" s="20" t="s">
        <v>11</v>
      </c>
      <c r="N16" s="73" t="s">
        <v>20</v>
      </c>
      <c r="O16" s="79" t="s">
        <v>251</v>
      </c>
    </row>
    <row r="17" spans="1:23" ht="15" thickBot="1">
      <c r="A17" s="76" t="s">
        <v>51</v>
      </c>
      <c r="B17" s="103">
        <v>342</v>
      </c>
      <c r="C17" s="104">
        <v>342</v>
      </c>
      <c r="D17" s="103">
        <v>342</v>
      </c>
      <c r="E17" s="104">
        <v>342</v>
      </c>
      <c r="F17" s="103">
        <v>285</v>
      </c>
      <c r="G17" s="104">
        <v>342</v>
      </c>
      <c r="H17" s="103">
        <v>342</v>
      </c>
      <c r="I17" s="104">
        <v>342</v>
      </c>
      <c r="J17" s="103">
        <v>342</v>
      </c>
      <c r="K17" s="104">
        <v>342</v>
      </c>
      <c r="L17" s="73" t="s">
        <v>8</v>
      </c>
      <c r="M17" s="20" t="s">
        <v>240</v>
      </c>
      <c r="N17" s="73" t="s">
        <v>20</v>
      </c>
      <c r="O17" s="79" t="s">
        <v>251</v>
      </c>
    </row>
    <row r="18" spans="1:23" ht="15" thickBot="1">
      <c r="A18" s="76" t="s">
        <v>53</v>
      </c>
      <c r="B18" s="103">
        <v>232</v>
      </c>
      <c r="C18" s="104">
        <v>232</v>
      </c>
      <c r="D18" s="103">
        <v>232</v>
      </c>
      <c r="E18" s="104">
        <v>232</v>
      </c>
      <c r="F18" s="103">
        <v>232</v>
      </c>
      <c r="G18" s="104">
        <v>232</v>
      </c>
      <c r="H18" s="103">
        <v>232</v>
      </c>
      <c r="I18" s="104">
        <v>232</v>
      </c>
      <c r="J18" s="103">
        <v>232</v>
      </c>
      <c r="K18" s="104">
        <v>232</v>
      </c>
      <c r="L18" s="73" t="s">
        <v>8</v>
      </c>
      <c r="M18" s="20" t="s">
        <v>240</v>
      </c>
      <c r="N18" s="73" t="s">
        <v>20</v>
      </c>
      <c r="O18" s="79" t="s">
        <v>251</v>
      </c>
    </row>
    <row r="19" spans="1:23" ht="15" thickBot="1">
      <c r="A19" s="76" t="s">
        <v>55</v>
      </c>
      <c r="B19" s="103">
        <v>0</v>
      </c>
      <c r="C19" s="104">
        <v>0</v>
      </c>
      <c r="D19" s="103">
        <v>0</v>
      </c>
      <c r="E19" s="104">
        <v>0</v>
      </c>
      <c r="F19" s="103">
        <v>0</v>
      </c>
      <c r="G19" s="104">
        <v>0</v>
      </c>
      <c r="H19" s="103">
        <v>0</v>
      </c>
      <c r="I19" s="104">
        <v>0</v>
      </c>
      <c r="J19" s="103">
        <v>0</v>
      </c>
      <c r="K19" s="104">
        <v>0</v>
      </c>
      <c r="L19" s="73" t="s">
        <v>8</v>
      </c>
      <c r="M19" s="20" t="s">
        <v>242</v>
      </c>
      <c r="N19" s="73" t="s">
        <v>20</v>
      </c>
      <c r="O19" s="79" t="s">
        <v>251</v>
      </c>
    </row>
    <row r="20" spans="1:23" ht="15" thickBot="1">
      <c r="A20" s="76" t="s">
        <v>57</v>
      </c>
      <c r="B20" s="103">
        <v>58</v>
      </c>
      <c r="C20" s="104">
        <v>58</v>
      </c>
      <c r="D20" s="103">
        <v>58</v>
      </c>
      <c r="E20" s="104">
        <v>58</v>
      </c>
      <c r="F20" s="103">
        <v>58</v>
      </c>
      <c r="G20" s="104">
        <v>58</v>
      </c>
      <c r="H20" s="103">
        <v>58</v>
      </c>
      <c r="I20" s="104">
        <v>58</v>
      </c>
      <c r="J20" s="103">
        <v>58</v>
      </c>
      <c r="K20" s="104">
        <v>58</v>
      </c>
      <c r="L20" s="73" t="s">
        <v>8</v>
      </c>
      <c r="M20" s="20" t="s">
        <v>242</v>
      </c>
      <c r="N20" s="73" t="s">
        <v>20</v>
      </c>
      <c r="O20" s="79" t="s">
        <v>251</v>
      </c>
    </row>
    <row r="21" spans="1:23" ht="15" thickBot="1">
      <c r="A21" s="76" t="s">
        <v>59</v>
      </c>
      <c r="B21" s="103">
        <v>90</v>
      </c>
      <c r="C21" s="104">
        <v>90</v>
      </c>
      <c r="D21" s="103">
        <v>90</v>
      </c>
      <c r="E21" s="104">
        <v>75</v>
      </c>
      <c r="F21" s="103">
        <v>75</v>
      </c>
      <c r="G21" s="104">
        <v>75</v>
      </c>
      <c r="H21" s="103">
        <v>90</v>
      </c>
      <c r="I21" s="104">
        <v>90</v>
      </c>
      <c r="J21" s="103">
        <v>90</v>
      </c>
      <c r="K21" s="104">
        <v>90</v>
      </c>
      <c r="L21" s="73" t="s">
        <v>8</v>
      </c>
      <c r="M21" s="20" t="s">
        <v>240</v>
      </c>
      <c r="N21" s="73" t="s">
        <v>20</v>
      </c>
      <c r="O21" s="79" t="s">
        <v>251</v>
      </c>
    </row>
    <row r="22" spans="1:23" ht="15" thickBot="1">
      <c r="A22" s="76" t="s">
        <v>61</v>
      </c>
      <c r="B22" s="103">
        <v>102.8</v>
      </c>
      <c r="C22" s="104">
        <v>102.8</v>
      </c>
      <c r="D22" s="103">
        <v>102.8</v>
      </c>
      <c r="E22" s="104">
        <v>102.8</v>
      </c>
      <c r="F22" s="103">
        <v>102.8</v>
      </c>
      <c r="G22" s="104">
        <v>102.8</v>
      </c>
      <c r="H22" s="103">
        <v>102.8</v>
      </c>
      <c r="I22" s="104">
        <v>102.8</v>
      </c>
      <c r="J22" s="103">
        <v>102.8</v>
      </c>
      <c r="K22" s="104">
        <v>102.8</v>
      </c>
      <c r="L22" s="73" t="s">
        <v>8</v>
      </c>
      <c r="M22" s="20" t="s">
        <v>240</v>
      </c>
      <c r="N22" s="73" t="s">
        <v>20</v>
      </c>
      <c r="O22" s="79" t="s">
        <v>251</v>
      </c>
    </row>
    <row r="23" spans="1:23" ht="15" thickBot="1">
      <c r="A23" s="76" t="s">
        <v>63</v>
      </c>
      <c r="B23" s="103">
        <v>88</v>
      </c>
      <c r="C23" s="104">
        <v>88</v>
      </c>
      <c r="D23" s="103">
        <v>88</v>
      </c>
      <c r="E23" s="104">
        <v>88</v>
      </c>
      <c r="F23" s="103">
        <v>88</v>
      </c>
      <c r="G23" s="104">
        <v>88</v>
      </c>
      <c r="H23" s="103">
        <v>88</v>
      </c>
      <c r="I23" s="104">
        <v>88</v>
      </c>
      <c r="J23" s="103">
        <v>88</v>
      </c>
      <c r="K23" s="104">
        <v>88</v>
      </c>
      <c r="L23" s="73" t="s">
        <v>8</v>
      </c>
      <c r="M23" s="20" t="s">
        <v>240</v>
      </c>
      <c r="N23" s="73" t="s">
        <v>20</v>
      </c>
      <c r="O23" s="79" t="s">
        <v>251</v>
      </c>
    </row>
    <row r="24" spans="1:23" ht="15" thickBot="1">
      <c r="A24" s="76" t="s">
        <v>65</v>
      </c>
      <c r="B24" s="103">
        <v>130.5</v>
      </c>
      <c r="C24" s="104">
        <v>130.5</v>
      </c>
      <c r="D24" s="103">
        <v>130.5</v>
      </c>
      <c r="E24" s="104">
        <v>130.5</v>
      </c>
      <c r="F24" s="103">
        <v>130.5</v>
      </c>
      <c r="G24" s="104">
        <v>130.5</v>
      </c>
      <c r="H24" s="103">
        <v>130.5</v>
      </c>
      <c r="I24" s="104">
        <v>130.5</v>
      </c>
      <c r="J24" s="103">
        <v>130.5</v>
      </c>
      <c r="K24" s="104">
        <v>130.5</v>
      </c>
      <c r="L24" s="73" t="s">
        <v>8</v>
      </c>
      <c r="M24" s="20" t="s">
        <v>240</v>
      </c>
      <c r="N24" s="73" t="s">
        <v>20</v>
      </c>
      <c r="O24" s="79" t="s">
        <v>251</v>
      </c>
    </row>
    <row r="25" spans="1:23">
      <c r="A25" s="78" t="s">
        <v>107</v>
      </c>
      <c r="B25" s="105">
        <v>0</v>
      </c>
      <c r="C25" s="106">
        <v>144</v>
      </c>
      <c r="D25" s="105">
        <v>144</v>
      </c>
      <c r="E25" s="106">
        <v>144</v>
      </c>
      <c r="F25" s="105">
        <v>144</v>
      </c>
      <c r="G25" s="106">
        <v>144</v>
      </c>
      <c r="H25" s="105">
        <v>144</v>
      </c>
      <c r="I25" s="106">
        <v>144</v>
      </c>
      <c r="J25" s="105">
        <v>144</v>
      </c>
      <c r="K25" s="106">
        <v>144</v>
      </c>
      <c r="L25" s="75" t="s">
        <v>12</v>
      </c>
      <c r="M25" s="53" t="s">
        <v>11</v>
      </c>
      <c r="N25" s="75" t="s">
        <v>20</v>
      </c>
      <c r="O25" s="81" t="s">
        <v>251</v>
      </c>
    </row>
    <row r="26" spans="1:23" ht="15" thickBot="1">
      <c r="B26" s="107"/>
      <c r="C26" s="107"/>
      <c r="D26" s="107"/>
      <c r="E26" s="107"/>
      <c r="F26" s="107"/>
      <c r="G26" s="107"/>
      <c r="H26" s="107"/>
      <c r="I26" s="107"/>
      <c r="J26" s="107"/>
      <c r="K26" s="107"/>
      <c r="P26" s="54"/>
      <c r="Q26" s="54"/>
      <c r="R26" s="54"/>
      <c r="S26" s="54"/>
      <c r="T26" s="54"/>
      <c r="U26" s="54"/>
      <c r="V26" s="54"/>
      <c r="W26" s="54"/>
    </row>
    <row r="27" spans="1:23" ht="15" thickBot="1">
      <c r="A27" s="57" t="s">
        <v>67</v>
      </c>
      <c r="B27" s="108">
        <f>SUM(wincapsalltable[2019])</f>
        <v>2496.6000000000004</v>
      </c>
      <c r="C27" s="108">
        <f>SUM(wincapsalltable[2020])</f>
        <v>2752.2</v>
      </c>
      <c r="D27" s="108">
        <f>SUM(wincapsalltable[2021])</f>
        <v>2782.2</v>
      </c>
      <c r="E27" s="108">
        <f>SUM(wincapsalltable[2022])</f>
        <v>2767.2</v>
      </c>
      <c r="F27" s="108">
        <f>SUM(wincapsalltable[2023])</f>
        <v>2710.2</v>
      </c>
      <c r="G27" s="108">
        <f>SUM(wincapsalltable[2024])</f>
        <v>2737.2</v>
      </c>
      <c r="H27" s="108">
        <f>SUM(wincapsalltable[2025])</f>
        <v>2642.2</v>
      </c>
      <c r="I27" s="108">
        <f>SUM(wincapsalltable[2026])</f>
        <v>2782.2</v>
      </c>
      <c r="J27" s="108">
        <f>SUM(wincapsalltable[2027])</f>
        <v>2782.2</v>
      </c>
      <c r="K27" s="108">
        <f>SUM(wincapsalltable[2028])</f>
        <v>2782.2</v>
      </c>
      <c r="L27" s="58"/>
      <c r="M27" s="54"/>
      <c r="N27" s="54"/>
      <c r="O27" s="54"/>
      <c r="P27" s="54"/>
      <c r="Q27" s="54"/>
      <c r="R27" s="54"/>
      <c r="S27" s="54"/>
      <c r="T27" s="54"/>
      <c r="U27" s="54"/>
      <c r="V27" s="54"/>
      <c r="W27" s="54"/>
    </row>
    <row r="28" spans="1:23" ht="30" customHeight="1">
      <c r="B28" s="61"/>
      <c r="C28" s="61"/>
      <c r="D28" s="61"/>
      <c r="E28" s="61"/>
      <c r="F28" s="61"/>
      <c r="G28" s="61"/>
      <c r="H28" s="61"/>
      <c r="I28" s="61"/>
      <c r="J28" s="61"/>
      <c r="K28" s="61"/>
      <c r="M28" s="54"/>
      <c r="N28" s="54"/>
      <c r="O28" s="54"/>
      <c r="P28" s="54"/>
      <c r="Q28" s="54"/>
      <c r="R28" s="54"/>
      <c r="S28" s="54"/>
      <c r="T28" s="54"/>
      <c r="U28" s="54"/>
      <c r="V28" s="54"/>
      <c r="W28" s="54"/>
    </row>
    <row r="29" spans="1:23" ht="30" customHeight="1">
      <c r="A29" s="173" t="s">
        <v>252</v>
      </c>
      <c r="B29" s="174"/>
      <c r="C29" s="174"/>
      <c r="D29" s="174"/>
      <c r="E29" s="174"/>
      <c r="F29" s="174"/>
      <c r="G29" s="174"/>
      <c r="H29" s="174"/>
      <c r="I29" s="174"/>
      <c r="J29" s="174"/>
      <c r="K29" s="174"/>
      <c r="L29" s="174"/>
      <c r="M29" s="54"/>
      <c r="N29" s="54"/>
      <c r="O29" s="54"/>
      <c r="P29" s="54"/>
      <c r="Q29" s="54"/>
      <c r="R29" s="54"/>
      <c r="S29" s="54"/>
      <c r="T29" s="54"/>
      <c r="U29" s="54"/>
      <c r="V29" s="54"/>
      <c r="W29" s="54"/>
    </row>
    <row r="30" spans="1:23" ht="43.5" customHeight="1">
      <c r="A30" s="173" t="s">
        <v>244</v>
      </c>
      <c r="B30" s="174"/>
      <c r="C30" s="174"/>
      <c r="D30" s="174"/>
      <c r="E30" s="174"/>
      <c r="F30" s="174"/>
      <c r="G30" s="174"/>
      <c r="H30" s="174"/>
      <c r="I30" s="174"/>
      <c r="J30" s="174"/>
      <c r="K30" s="174"/>
      <c r="L30" s="174"/>
      <c r="M30" s="54"/>
      <c r="N30" s="54"/>
      <c r="O30" s="54"/>
      <c r="P30" s="176"/>
      <c r="Q30" s="176"/>
      <c r="R30" s="176"/>
      <c r="S30" s="176"/>
      <c r="T30" s="176"/>
      <c r="U30" s="176"/>
      <c r="V30" s="176"/>
      <c r="W30" s="176"/>
    </row>
    <row r="31" spans="1:23" ht="69" customHeight="1">
      <c r="A31" s="173" t="s">
        <v>253</v>
      </c>
      <c r="B31" s="174"/>
      <c r="C31" s="174"/>
      <c r="D31" s="174"/>
      <c r="E31" s="174"/>
      <c r="F31" s="174"/>
      <c r="G31" s="174"/>
      <c r="H31" s="174"/>
      <c r="I31" s="174"/>
      <c r="J31" s="174"/>
      <c r="K31" s="174"/>
      <c r="L31" s="174"/>
      <c r="M31" s="54"/>
      <c r="N31" s="54"/>
      <c r="O31" s="54"/>
      <c r="P31" s="176"/>
      <c r="Q31" s="176"/>
      <c r="R31" s="176"/>
      <c r="S31" s="176"/>
      <c r="T31" s="176"/>
      <c r="U31" s="176"/>
      <c r="V31" s="176"/>
      <c r="W31" s="176"/>
    </row>
    <row r="32" spans="1:23" ht="15" thickBot="1">
      <c r="M32" s="54"/>
      <c r="N32" s="54"/>
      <c r="O32" s="54"/>
      <c r="P32" s="54"/>
      <c r="Q32" s="54"/>
      <c r="R32" s="54"/>
      <c r="S32" s="54"/>
      <c r="T32" s="54"/>
      <c r="U32" s="54"/>
      <c r="V32" s="54"/>
      <c r="W32" s="54"/>
    </row>
    <row r="33" spans="1:15" ht="19.5" thickBot="1">
      <c r="A33" s="60" t="s">
        <v>254</v>
      </c>
      <c r="M33" s="54"/>
      <c r="N33" s="54"/>
      <c r="O33" s="54"/>
    </row>
    <row r="34" spans="1:15" ht="15" thickBot="1">
      <c r="A34" s="98" t="s">
        <v>237</v>
      </c>
      <c r="B34" s="98" t="s">
        <v>273</v>
      </c>
      <c r="C34" s="98" t="s">
        <v>274</v>
      </c>
      <c r="D34" s="98" t="s">
        <v>275</v>
      </c>
      <c r="E34" s="98" t="s">
        <v>276</v>
      </c>
      <c r="F34" s="98" t="s">
        <v>277</v>
      </c>
      <c r="G34" s="98" t="s">
        <v>278</v>
      </c>
      <c r="H34" s="98" t="s">
        <v>279</v>
      </c>
      <c r="I34" s="98" t="s">
        <v>280</v>
      </c>
      <c r="J34" s="98" t="s">
        <v>281</v>
      </c>
      <c r="K34" s="98" t="s">
        <v>282</v>
      </c>
      <c r="L34" s="98" t="s">
        <v>272</v>
      </c>
      <c r="M34" s="66" t="s">
        <v>238</v>
      </c>
      <c r="N34" s="66" t="s">
        <v>7</v>
      </c>
      <c r="O34" s="67" t="s">
        <v>239</v>
      </c>
    </row>
    <row r="35" spans="1:15" ht="15" thickBot="1">
      <c r="A35" s="63" t="s">
        <v>16</v>
      </c>
      <c r="B35" s="109">
        <v>81</v>
      </c>
      <c r="C35" s="110">
        <v>81</v>
      </c>
      <c r="D35" s="109">
        <v>81</v>
      </c>
      <c r="E35" s="110">
        <v>81</v>
      </c>
      <c r="F35" s="109">
        <v>81</v>
      </c>
      <c r="G35" s="110">
        <v>81</v>
      </c>
      <c r="H35" s="109">
        <v>81</v>
      </c>
      <c r="I35" s="110">
        <v>81</v>
      </c>
      <c r="J35" s="109">
        <v>81</v>
      </c>
      <c r="K35" s="110">
        <v>81</v>
      </c>
      <c r="L35" s="55" t="s">
        <v>8</v>
      </c>
      <c r="M35" s="56" t="s">
        <v>240</v>
      </c>
      <c r="N35" s="55" t="s">
        <v>20</v>
      </c>
      <c r="O35" s="64" t="s">
        <v>251</v>
      </c>
    </row>
    <row r="36" spans="1:15" ht="15" thickBot="1">
      <c r="A36" s="63" t="s">
        <v>21</v>
      </c>
      <c r="B36" s="109">
        <v>105</v>
      </c>
      <c r="C36" s="110">
        <v>105</v>
      </c>
      <c r="D36" s="109">
        <v>105</v>
      </c>
      <c r="E36" s="110">
        <v>105</v>
      </c>
      <c r="F36" s="109">
        <v>105</v>
      </c>
      <c r="G36" s="110">
        <v>105</v>
      </c>
      <c r="H36" s="109">
        <v>105</v>
      </c>
      <c r="I36" s="110">
        <v>105</v>
      </c>
      <c r="J36" s="109">
        <v>105</v>
      </c>
      <c r="K36" s="110">
        <v>105</v>
      </c>
      <c r="L36" s="55" t="s">
        <v>8</v>
      </c>
      <c r="M36" s="56" t="s">
        <v>242</v>
      </c>
      <c r="N36" s="55" t="s">
        <v>20</v>
      </c>
      <c r="O36" s="64" t="s">
        <v>251</v>
      </c>
    </row>
    <row r="37" spans="1:15" ht="15" thickBot="1">
      <c r="A37" s="63" t="s">
        <v>26</v>
      </c>
      <c r="B37" s="109">
        <v>173.7</v>
      </c>
      <c r="C37" s="110">
        <v>173.7</v>
      </c>
      <c r="D37" s="109">
        <v>173.7</v>
      </c>
      <c r="E37" s="110">
        <v>173.7</v>
      </c>
      <c r="F37" s="109">
        <v>173.7</v>
      </c>
      <c r="G37" s="110">
        <v>173.7</v>
      </c>
      <c r="H37" s="109">
        <v>173.7</v>
      </c>
      <c r="I37" s="110">
        <v>173.7</v>
      </c>
      <c r="J37" s="109">
        <v>173.7</v>
      </c>
      <c r="K37" s="110">
        <v>173.7</v>
      </c>
      <c r="L37" s="55" t="s">
        <v>8</v>
      </c>
      <c r="M37" s="56" t="s">
        <v>240</v>
      </c>
      <c r="N37" s="55" t="s">
        <v>20</v>
      </c>
      <c r="O37" s="64" t="s">
        <v>251</v>
      </c>
    </row>
    <row r="38" spans="1:15" ht="15" thickBot="1">
      <c r="A38" s="63" t="s">
        <v>28</v>
      </c>
      <c r="B38" s="109">
        <v>95</v>
      </c>
      <c r="C38" s="110">
        <v>95</v>
      </c>
      <c r="D38" s="109">
        <v>95</v>
      </c>
      <c r="E38" s="110">
        <v>95</v>
      </c>
      <c r="F38" s="109">
        <v>95</v>
      </c>
      <c r="G38" s="110">
        <v>95</v>
      </c>
      <c r="H38" s="109">
        <v>95</v>
      </c>
      <c r="I38" s="110">
        <v>95</v>
      </c>
      <c r="J38" s="109">
        <v>95</v>
      </c>
      <c r="K38" s="110">
        <v>95</v>
      </c>
      <c r="L38" s="55" t="s">
        <v>8</v>
      </c>
      <c r="M38" s="56" t="s">
        <v>240</v>
      </c>
      <c r="N38" s="55" t="s">
        <v>20</v>
      </c>
      <c r="O38" s="64" t="s">
        <v>251</v>
      </c>
    </row>
    <row r="39" spans="1:15" ht="15" thickBot="1">
      <c r="A39" s="63" t="s">
        <v>32</v>
      </c>
      <c r="B39" s="109">
        <v>63</v>
      </c>
      <c r="C39" s="110">
        <v>63</v>
      </c>
      <c r="D39" s="109">
        <v>63</v>
      </c>
      <c r="E39" s="110">
        <v>63</v>
      </c>
      <c r="F39" s="109">
        <v>63</v>
      </c>
      <c r="G39" s="110">
        <v>63</v>
      </c>
      <c r="H39" s="109">
        <v>63</v>
      </c>
      <c r="I39" s="110">
        <v>63</v>
      </c>
      <c r="J39" s="109">
        <v>63</v>
      </c>
      <c r="K39" s="110">
        <v>63</v>
      </c>
      <c r="L39" s="55" t="s">
        <v>8</v>
      </c>
      <c r="M39" s="56" t="s">
        <v>240</v>
      </c>
      <c r="N39" s="55" t="s">
        <v>20</v>
      </c>
      <c r="O39" s="64" t="s">
        <v>251</v>
      </c>
    </row>
    <row r="40" spans="1:15" ht="15" thickBot="1">
      <c r="A40" s="63" t="s">
        <v>34</v>
      </c>
      <c r="B40" s="109">
        <v>46</v>
      </c>
      <c r="C40" s="110">
        <v>46</v>
      </c>
      <c r="D40" s="109">
        <v>46</v>
      </c>
      <c r="E40" s="110">
        <v>46</v>
      </c>
      <c r="F40" s="109">
        <v>46</v>
      </c>
      <c r="G40" s="110">
        <v>46</v>
      </c>
      <c r="H40" s="109">
        <v>46</v>
      </c>
      <c r="I40" s="110">
        <v>46</v>
      </c>
      <c r="J40" s="109">
        <v>46</v>
      </c>
      <c r="K40" s="110">
        <v>46</v>
      </c>
      <c r="L40" s="55" t="s">
        <v>8</v>
      </c>
      <c r="M40" s="56" t="s">
        <v>240</v>
      </c>
      <c r="N40" s="55" t="s">
        <v>20</v>
      </c>
      <c r="O40" s="64" t="s">
        <v>251</v>
      </c>
    </row>
    <row r="41" spans="1:15" ht="15" thickBot="1">
      <c r="A41" s="63" t="s">
        <v>36</v>
      </c>
      <c r="B41" s="109">
        <v>370.79999999999995</v>
      </c>
      <c r="C41" s="110">
        <v>370.79999999999995</v>
      </c>
      <c r="D41" s="109">
        <v>370.79999999999995</v>
      </c>
      <c r="E41" s="110">
        <v>370.79999999999995</v>
      </c>
      <c r="F41" s="109">
        <v>370.79999999999995</v>
      </c>
      <c r="G41" s="110">
        <v>370.79999999999995</v>
      </c>
      <c r="H41" s="109">
        <v>370.79999999999995</v>
      </c>
      <c r="I41" s="110">
        <v>370.79999999999995</v>
      </c>
      <c r="J41" s="109">
        <v>370.79999999999995</v>
      </c>
      <c r="K41" s="110">
        <v>370.79999999999995</v>
      </c>
      <c r="L41" s="55" t="s">
        <v>8</v>
      </c>
      <c r="M41" s="56" t="s">
        <v>240</v>
      </c>
      <c r="N41" s="55" t="s">
        <v>20</v>
      </c>
      <c r="O41" s="64" t="s">
        <v>251</v>
      </c>
    </row>
    <row r="42" spans="1:15" ht="15" thickBot="1">
      <c r="A42" s="63" t="s">
        <v>39</v>
      </c>
      <c r="B42" s="109">
        <v>140</v>
      </c>
      <c r="C42" s="110">
        <v>140</v>
      </c>
      <c r="D42" s="109">
        <v>140</v>
      </c>
      <c r="E42" s="110">
        <v>140</v>
      </c>
      <c r="F42" s="109">
        <v>140</v>
      </c>
      <c r="G42" s="110">
        <v>140</v>
      </c>
      <c r="H42" s="109">
        <v>0</v>
      </c>
      <c r="I42" s="110">
        <v>140</v>
      </c>
      <c r="J42" s="109">
        <v>140</v>
      </c>
      <c r="K42" s="110">
        <v>140</v>
      </c>
      <c r="L42" s="55" t="s">
        <v>8</v>
      </c>
      <c r="M42" s="56" t="s">
        <v>240</v>
      </c>
      <c r="N42" s="55" t="s">
        <v>20</v>
      </c>
      <c r="O42" s="64" t="s">
        <v>251</v>
      </c>
    </row>
    <row r="43" spans="1:15" ht="15" thickBot="1">
      <c r="A43" s="63" t="s">
        <v>41</v>
      </c>
      <c r="B43" s="109">
        <v>0</v>
      </c>
      <c r="C43" s="110">
        <v>0</v>
      </c>
      <c r="D43" s="109">
        <v>30</v>
      </c>
      <c r="E43" s="110">
        <v>30</v>
      </c>
      <c r="F43" s="109">
        <v>30</v>
      </c>
      <c r="G43" s="110">
        <v>0</v>
      </c>
      <c r="H43" s="109">
        <v>30</v>
      </c>
      <c r="I43" s="110">
        <v>30</v>
      </c>
      <c r="J43" s="109">
        <v>30</v>
      </c>
      <c r="K43" s="110">
        <v>30</v>
      </c>
      <c r="L43" s="55" t="s">
        <v>8</v>
      </c>
      <c r="M43" s="56" t="s">
        <v>240</v>
      </c>
      <c r="N43" s="55" t="s">
        <v>20</v>
      </c>
      <c r="O43" s="64" t="s">
        <v>251</v>
      </c>
    </row>
    <row r="44" spans="1:15" ht="15" thickBot="1">
      <c r="A44" s="63" t="s">
        <v>43</v>
      </c>
      <c r="B44" s="109">
        <v>86</v>
      </c>
      <c r="C44" s="110">
        <v>86</v>
      </c>
      <c r="D44" s="109">
        <v>86</v>
      </c>
      <c r="E44" s="110">
        <v>86</v>
      </c>
      <c r="F44" s="109">
        <v>86</v>
      </c>
      <c r="G44" s="110">
        <v>86</v>
      </c>
      <c r="H44" s="109">
        <v>86</v>
      </c>
      <c r="I44" s="110">
        <v>86</v>
      </c>
      <c r="J44" s="109">
        <v>86</v>
      </c>
      <c r="K44" s="110">
        <v>86</v>
      </c>
      <c r="L44" s="55" t="s">
        <v>8</v>
      </c>
      <c r="M44" s="56" t="s">
        <v>240</v>
      </c>
      <c r="N44" s="55" t="s">
        <v>20</v>
      </c>
      <c r="O44" s="64" t="s">
        <v>251</v>
      </c>
    </row>
    <row r="45" spans="1:15" ht="15" thickBot="1">
      <c r="A45" s="63" t="s">
        <v>46</v>
      </c>
      <c r="B45" s="109">
        <v>81</v>
      </c>
      <c r="C45" s="110">
        <v>81</v>
      </c>
      <c r="D45" s="109">
        <v>81</v>
      </c>
      <c r="E45" s="110">
        <v>81</v>
      </c>
      <c r="F45" s="109">
        <v>81</v>
      </c>
      <c r="G45" s="110">
        <v>81</v>
      </c>
      <c r="H45" s="109">
        <v>81</v>
      </c>
      <c r="I45" s="110">
        <v>81</v>
      </c>
      <c r="J45" s="109">
        <v>81</v>
      </c>
      <c r="K45" s="110">
        <v>81</v>
      </c>
      <c r="L45" s="55" t="s">
        <v>8</v>
      </c>
      <c r="M45" s="56" t="s">
        <v>240</v>
      </c>
      <c r="N45" s="55" t="s">
        <v>20</v>
      </c>
      <c r="O45" s="64" t="s">
        <v>251</v>
      </c>
    </row>
    <row r="46" spans="1:15" ht="15" thickBot="1">
      <c r="A46" s="63" t="s">
        <v>47</v>
      </c>
      <c r="B46" s="109">
        <v>43.8</v>
      </c>
      <c r="C46" s="110">
        <v>43.8</v>
      </c>
      <c r="D46" s="109">
        <v>43.8</v>
      </c>
      <c r="E46" s="110">
        <v>43.8</v>
      </c>
      <c r="F46" s="109">
        <v>43.8</v>
      </c>
      <c r="G46" s="110">
        <v>43.8</v>
      </c>
      <c r="H46" s="109">
        <v>43.8</v>
      </c>
      <c r="I46" s="110">
        <v>43.8</v>
      </c>
      <c r="J46" s="109">
        <v>43.8</v>
      </c>
      <c r="K46" s="110">
        <v>43.8</v>
      </c>
      <c r="L46" s="55" t="s">
        <v>8</v>
      </c>
      <c r="M46" s="56" t="s">
        <v>240</v>
      </c>
      <c r="N46" s="55" t="s">
        <v>20</v>
      </c>
      <c r="O46" s="64" t="s">
        <v>251</v>
      </c>
    </row>
    <row r="47" spans="1:15" ht="15" thickBot="1">
      <c r="A47" s="63" t="s">
        <v>51</v>
      </c>
      <c r="B47" s="109">
        <v>342</v>
      </c>
      <c r="C47" s="110">
        <v>342</v>
      </c>
      <c r="D47" s="109">
        <v>342</v>
      </c>
      <c r="E47" s="110">
        <v>342</v>
      </c>
      <c r="F47" s="109">
        <v>285</v>
      </c>
      <c r="G47" s="110">
        <v>342</v>
      </c>
      <c r="H47" s="109">
        <v>342</v>
      </c>
      <c r="I47" s="110">
        <v>342</v>
      </c>
      <c r="J47" s="109">
        <v>342</v>
      </c>
      <c r="K47" s="110">
        <v>342</v>
      </c>
      <c r="L47" s="55" t="s">
        <v>8</v>
      </c>
      <c r="M47" s="56" t="s">
        <v>240</v>
      </c>
      <c r="N47" s="55" t="s">
        <v>20</v>
      </c>
      <c r="O47" s="64" t="s">
        <v>251</v>
      </c>
    </row>
    <row r="48" spans="1:15" ht="15" thickBot="1">
      <c r="A48" s="63" t="s">
        <v>53</v>
      </c>
      <c r="B48" s="109">
        <v>232</v>
      </c>
      <c r="C48" s="110">
        <v>232</v>
      </c>
      <c r="D48" s="109">
        <v>232</v>
      </c>
      <c r="E48" s="110">
        <v>232</v>
      </c>
      <c r="F48" s="109">
        <v>232</v>
      </c>
      <c r="G48" s="110">
        <v>232</v>
      </c>
      <c r="H48" s="109">
        <v>232</v>
      </c>
      <c r="I48" s="110">
        <v>232</v>
      </c>
      <c r="J48" s="109">
        <v>232</v>
      </c>
      <c r="K48" s="110">
        <v>232</v>
      </c>
      <c r="L48" s="55" t="s">
        <v>8</v>
      </c>
      <c r="M48" s="56" t="s">
        <v>240</v>
      </c>
      <c r="N48" s="55" t="s">
        <v>20</v>
      </c>
      <c r="O48" s="64" t="s">
        <v>251</v>
      </c>
    </row>
    <row r="49" spans="1:23" ht="15" thickBot="1">
      <c r="A49" s="63" t="s">
        <v>55</v>
      </c>
      <c r="B49" s="109">
        <v>0</v>
      </c>
      <c r="C49" s="110">
        <v>0</v>
      </c>
      <c r="D49" s="109">
        <v>0</v>
      </c>
      <c r="E49" s="110">
        <v>0</v>
      </c>
      <c r="F49" s="109">
        <v>0</v>
      </c>
      <c r="G49" s="110">
        <v>0</v>
      </c>
      <c r="H49" s="109">
        <v>0</v>
      </c>
      <c r="I49" s="110">
        <v>0</v>
      </c>
      <c r="J49" s="109">
        <v>0</v>
      </c>
      <c r="K49" s="110">
        <v>0</v>
      </c>
      <c r="L49" s="55" t="s">
        <v>8</v>
      </c>
      <c r="M49" s="56" t="s">
        <v>242</v>
      </c>
      <c r="N49" s="55" t="s">
        <v>20</v>
      </c>
      <c r="O49" s="64" t="s">
        <v>251</v>
      </c>
    </row>
    <row r="50" spans="1:23" ht="15" thickBot="1">
      <c r="A50" s="63" t="s">
        <v>57</v>
      </c>
      <c r="B50" s="109">
        <v>58</v>
      </c>
      <c r="C50" s="110">
        <v>58</v>
      </c>
      <c r="D50" s="109">
        <v>58</v>
      </c>
      <c r="E50" s="110">
        <v>58</v>
      </c>
      <c r="F50" s="109">
        <v>58</v>
      </c>
      <c r="G50" s="110">
        <v>58</v>
      </c>
      <c r="H50" s="109">
        <v>58</v>
      </c>
      <c r="I50" s="110">
        <v>58</v>
      </c>
      <c r="J50" s="109">
        <v>58</v>
      </c>
      <c r="K50" s="110">
        <v>58</v>
      </c>
      <c r="L50" s="55" t="s">
        <v>8</v>
      </c>
      <c r="M50" s="56" t="s">
        <v>242</v>
      </c>
      <c r="N50" s="55" t="s">
        <v>20</v>
      </c>
      <c r="O50" s="64" t="s">
        <v>251</v>
      </c>
    </row>
    <row r="51" spans="1:23" ht="15" thickBot="1">
      <c r="A51" s="63" t="s">
        <v>59</v>
      </c>
      <c r="B51" s="109">
        <v>90</v>
      </c>
      <c r="C51" s="110">
        <v>90</v>
      </c>
      <c r="D51" s="109">
        <v>90</v>
      </c>
      <c r="E51" s="110">
        <v>75</v>
      </c>
      <c r="F51" s="109">
        <v>75</v>
      </c>
      <c r="G51" s="110">
        <v>75</v>
      </c>
      <c r="H51" s="109">
        <v>90</v>
      </c>
      <c r="I51" s="110">
        <v>90</v>
      </c>
      <c r="J51" s="109">
        <v>90</v>
      </c>
      <c r="K51" s="110">
        <v>90</v>
      </c>
      <c r="L51" s="55" t="s">
        <v>8</v>
      </c>
      <c r="M51" s="56" t="s">
        <v>240</v>
      </c>
      <c r="N51" s="55" t="s">
        <v>20</v>
      </c>
      <c r="O51" s="64" t="s">
        <v>251</v>
      </c>
    </row>
    <row r="52" spans="1:23" ht="15" thickBot="1">
      <c r="A52" s="63" t="s">
        <v>61</v>
      </c>
      <c r="B52" s="109">
        <v>102.8</v>
      </c>
      <c r="C52" s="110">
        <v>102.8</v>
      </c>
      <c r="D52" s="109">
        <v>102.8</v>
      </c>
      <c r="E52" s="110">
        <v>102.8</v>
      </c>
      <c r="F52" s="109">
        <v>102.8</v>
      </c>
      <c r="G52" s="110">
        <v>102.8</v>
      </c>
      <c r="H52" s="109">
        <v>102.8</v>
      </c>
      <c r="I52" s="110">
        <v>102.8</v>
      </c>
      <c r="J52" s="109">
        <v>102.8</v>
      </c>
      <c r="K52" s="110">
        <v>102.8</v>
      </c>
      <c r="L52" s="55" t="s">
        <v>8</v>
      </c>
      <c r="M52" s="56" t="s">
        <v>240</v>
      </c>
      <c r="N52" s="55" t="s">
        <v>20</v>
      </c>
      <c r="O52" s="64" t="s">
        <v>251</v>
      </c>
    </row>
    <row r="53" spans="1:23" ht="15" thickBot="1">
      <c r="A53" s="63" t="s">
        <v>63</v>
      </c>
      <c r="B53" s="109">
        <v>88</v>
      </c>
      <c r="C53" s="110">
        <v>88</v>
      </c>
      <c r="D53" s="109">
        <v>88</v>
      </c>
      <c r="E53" s="110">
        <v>88</v>
      </c>
      <c r="F53" s="109">
        <v>88</v>
      </c>
      <c r="G53" s="110">
        <v>88</v>
      </c>
      <c r="H53" s="109">
        <v>88</v>
      </c>
      <c r="I53" s="110">
        <v>88</v>
      </c>
      <c r="J53" s="109">
        <v>88</v>
      </c>
      <c r="K53" s="110">
        <v>88</v>
      </c>
      <c r="L53" s="55" t="s">
        <v>8</v>
      </c>
      <c r="M53" s="56" t="s">
        <v>240</v>
      </c>
      <c r="N53" s="55" t="s">
        <v>20</v>
      </c>
      <c r="O53" s="64" t="s">
        <v>251</v>
      </c>
    </row>
    <row r="54" spans="1:23">
      <c r="A54" s="68" t="s">
        <v>65</v>
      </c>
      <c r="B54" s="111">
        <v>130.5</v>
      </c>
      <c r="C54" s="112">
        <v>130.5</v>
      </c>
      <c r="D54" s="111">
        <v>130.5</v>
      </c>
      <c r="E54" s="112">
        <v>130.5</v>
      </c>
      <c r="F54" s="111">
        <v>130.5</v>
      </c>
      <c r="G54" s="112">
        <v>130.5</v>
      </c>
      <c r="H54" s="111">
        <v>130.5</v>
      </c>
      <c r="I54" s="112">
        <v>130.5</v>
      </c>
      <c r="J54" s="111">
        <v>130.5</v>
      </c>
      <c r="K54" s="112">
        <v>130.5</v>
      </c>
      <c r="L54" s="69" t="s">
        <v>8</v>
      </c>
      <c r="M54" s="70" t="s">
        <v>240</v>
      </c>
      <c r="N54" s="69" t="s">
        <v>20</v>
      </c>
      <c r="O54" s="71" t="s">
        <v>251</v>
      </c>
    </row>
    <row r="55" spans="1:23" ht="15" thickBot="1">
      <c r="B55" s="107"/>
      <c r="C55" s="107"/>
      <c r="D55" s="107"/>
      <c r="E55" s="107"/>
      <c r="F55" s="107"/>
      <c r="G55" s="107"/>
      <c r="H55" s="107"/>
      <c r="I55" s="107"/>
      <c r="J55" s="107"/>
      <c r="K55" s="107"/>
      <c r="P55" s="54"/>
      <c r="Q55" s="54"/>
      <c r="R55" s="54"/>
      <c r="S55" s="54"/>
      <c r="T55" s="54"/>
      <c r="U55" s="54"/>
      <c r="V55" s="54"/>
      <c r="W55" s="54"/>
    </row>
    <row r="56" spans="1:23" ht="15" thickBot="1">
      <c r="A56" s="3" t="s">
        <v>247</v>
      </c>
      <c r="B56" s="108">
        <f>SUMIF(wincapsSStable[[FuelType]:[FuelType]],"Wind",wincapsSStable[2019]) * 0.073</f>
        <v>12.263999999999999</v>
      </c>
      <c r="C56" s="108">
        <f>SUMIF(wincapsSStable[[FuelType]:[FuelType]],"Wind",wincapsSStable[2020]) * 0.073</f>
        <v>30.922799999999999</v>
      </c>
      <c r="D56" s="108">
        <f>SUMIF(wincapsSStable[[FuelType]:[FuelType]],"Wind",wincapsSStable[2021]) * 0.073</f>
        <v>30.922799999999999</v>
      </c>
      <c r="E56" s="108">
        <f>SUMIF(wincapsSStable[[FuelType]:[FuelType]],"Wind",wincapsSStable[2022]) * 0.073</f>
        <v>30.922799999999999</v>
      </c>
      <c r="F56" s="108">
        <f>SUMIF(wincapsSStable[[FuelType]:[FuelType]],"Wind",wincapsSStable[2023]) * 0.073</f>
        <v>30.922799999999999</v>
      </c>
      <c r="G56" s="108">
        <f>SUMIF(wincapsSStable[[FuelType]:[FuelType]],"Wind",wincapsSStable[2024]) * 0.073</f>
        <v>30.922799999999999</v>
      </c>
      <c r="H56" s="108">
        <f>SUMIF(wincapsSStable[[FuelType]:[FuelType]],"Wind",wincapsSStable[2025]) * 0.073</f>
        <v>30.922799999999999</v>
      </c>
      <c r="I56" s="108">
        <f>SUMIF(wincapsSStable[[FuelType]:[FuelType]],"Wind",wincapsSStable[2026]) * 0.073</f>
        <v>30.922799999999999</v>
      </c>
      <c r="J56" s="108">
        <f>SUMIF(wincapsSStable[[FuelType]:[FuelType]],"Wind",wincapsSStable[2027]) * 0.073</f>
        <v>30.922799999999999</v>
      </c>
      <c r="K56" s="108">
        <f>SUMIF(wincapsSStable[[FuelType]:[FuelType]],"Wind",wincapsSStable[2028]) * 0.073</f>
        <v>30.922799999999999</v>
      </c>
      <c r="L56" s="55" t="s">
        <v>12</v>
      </c>
      <c r="M56" s="54"/>
      <c r="N56" s="54"/>
      <c r="O56" s="54"/>
      <c r="P56" s="54"/>
      <c r="Q56" s="54"/>
      <c r="R56" s="54"/>
      <c r="S56" s="54"/>
      <c r="T56" s="54"/>
      <c r="U56" s="54"/>
      <c r="V56" s="54"/>
      <c r="W56" s="54"/>
    </row>
    <row r="57" spans="1:23" ht="15" thickBot="1">
      <c r="A57" s="57" t="s">
        <v>67</v>
      </c>
      <c r="B57" s="108">
        <f>SUM(wincapsStable[2019])+B56</f>
        <v>2340.864</v>
      </c>
      <c r="C57" s="108">
        <f>SUM(wincapsStable[2020])+C56</f>
        <v>2359.5227999999997</v>
      </c>
      <c r="D57" s="108">
        <f>SUM(wincapsStable[2021])+D56</f>
        <v>2389.5227999999997</v>
      </c>
      <c r="E57" s="108">
        <f>SUM(wincapsStable[2022])+E56</f>
        <v>2374.5227999999997</v>
      </c>
      <c r="F57" s="108">
        <f>SUM(wincapsStable[2023])+F56</f>
        <v>2317.5227999999997</v>
      </c>
      <c r="G57" s="108">
        <f>SUM(wincapsStable[2024])+G56</f>
        <v>2344.5227999999997</v>
      </c>
      <c r="H57" s="108">
        <f>SUM(wincapsStable[2025])+H56</f>
        <v>2249.5227999999997</v>
      </c>
      <c r="I57" s="108">
        <f>SUM(wincapsStable[2026])+I56</f>
        <v>2389.5227999999997</v>
      </c>
      <c r="J57" s="108">
        <f>SUM(wincapsStable[2027])+J56</f>
        <v>2389.5227999999997</v>
      </c>
      <c r="K57" s="108">
        <f>SUM(wincapsStable[2028])+K56</f>
        <v>2389.5227999999997</v>
      </c>
      <c r="L57" s="58"/>
      <c r="M57" s="54"/>
      <c r="N57" s="54"/>
      <c r="O57" s="54"/>
      <c r="P57" s="54"/>
      <c r="Q57" s="54"/>
      <c r="R57" s="54"/>
      <c r="S57" s="54"/>
      <c r="T57" s="54"/>
      <c r="U57" s="54"/>
      <c r="V57" s="54"/>
      <c r="W57" s="54"/>
    </row>
    <row r="58" spans="1:23" ht="15" thickBot="1">
      <c r="B58" s="61"/>
      <c r="C58" s="61"/>
      <c r="D58" s="61"/>
      <c r="E58" s="61"/>
      <c r="F58" s="61"/>
      <c r="G58" s="61"/>
      <c r="H58" s="61"/>
      <c r="I58" s="61"/>
      <c r="J58" s="61"/>
      <c r="K58" s="61"/>
      <c r="M58" s="54"/>
      <c r="N58" s="54"/>
      <c r="O58" s="54"/>
      <c r="P58" s="54"/>
      <c r="Q58" s="54"/>
      <c r="R58" s="54"/>
      <c r="S58" s="54"/>
      <c r="T58" s="54"/>
      <c r="U58" s="54"/>
      <c r="V58" s="54"/>
      <c r="W58" s="54"/>
    </row>
    <row r="59" spans="1:23" s="62" customFormat="1" ht="19.5" thickBot="1">
      <c r="A59" s="60" t="s">
        <v>255</v>
      </c>
      <c r="B59" s="30"/>
      <c r="C59" s="30"/>
      <c r="D59" s="30"/>
      <c r="E59" s="30"/>
      <c r="F59" s="30"/>
      <c r="G59" s="30"/>
      <c r="H59" s="30"/>
      <c r="I59" s="30"/>
      <c r="J59" s="30"/>
      <c r="K59" s="30"/>
      <c r="L59" s="30"/>
      <c r="M59" s="54"/>
      <c r="N59" s="54"/>
      <c r="O59" s="54"/>
    </row>
    <row r="60" spans="1:23" ht="15" thickBot="1">
      <c r="A60" s="98" t="s">
        <v>237</v>
      </c>
      <c r="B60" s="98" t="s">
        <v>273</v>
      </c>
      <c r="C60" s="98" t="s">
        <v>274</v>
      </c>
      <c r="D60" s="98" t="s">
        <v>275</v>
      </c>
      <c r="E60" s="98" t="s">
        <v>276</v>
      </c>
      <c r="F60" s="98" t="s">
        <v>277</v>
      </c>
      <c r="G60" s="98" t="s">
        <v>278</v>
      </c>
      <c r="H60" s="98" t="s">
        <v>279</v>
      </c>
      <c r="I60" s="98" t="s">
        <v>280</v>
      </c>
      <c r="J60" s="98" t="s">
        <v>281</v>
      </c>
      <c r="K60" s="98" t="s">
        <v>282</v>
      </c>
      <c r="L60" s="98" t="s">
        <v>272</v>
      </c>
      <c r="M60" s="66" t="s">
        <v>238</v>
      </c>
      <c r="N60" s="66" t="s">
        <v>7</v>
      </c>
      <c r="O60" s="67" t="s">
        <v>239</v>
      </c>
    </row>
    <row r="61" spans="1:23" ht="20.5" thickBot="1">
      <c r="A61" s="77" t="s">
        <v>332</v>
      </c>
      <c r="B61" s="101">
        <v>0</v>
      </c>
      <c r="C61" s="102">
        <v>111.6</v>
      </c>
      <c r="D61" s="101">
        <v>111.6</v>
      </c>
      <c r="E61" s="102">
        <v>111.6</v>
      </c>
      <c r="F61" s="101">
        <v>111.6</v>
      </c>
      <c r="G61" s="102">
        <v>111.6</v>
      </c>
      <c r="H61" s="101">
        <v>111.6</v>
      </c>
      <c r="I61" s="102">
        <v>111.6</v>
      </c>
      <c r="J61" s="101">
        <v>111.6</v>
      </c>
      <c r="K61" s="102">
        <v>111.6</v>
      </c>
      <c r="L61" s="74" t="s">
        <v>12</v>
      </c>
      <c r="M61" s="21" t="s">
        <v>11</v>
      </c>
      <c r="N61" s="74" t="s">
        <v>20</v>
      </c>
      <c r="O61" s="80" t="s">
        <v>251</v>
      </c>
    </row>
    <row r="62" spans="1:23" ht="15" thickBot="1">
      <c r="A62" s="76" t="s">
        <v>317</v>
      </c>
      <c r="B62" s="103">
        <v>168</v>
      </c>
      <c r="C62" s="104">
        <v>168</v>
      </c>
      <c r="D62" s="103">
        <v>168</v>
      </c>
      <c r="E62" s="104">
        <v>168</v>
      </c>
      <c r="F62" s="103">
        <v>168</v>
      </c>
      <c r="G62" s="104">
        <v>168</v>
      </c>
      <c r="H62" s="103">
        <v>168</v>
      </c>
      <c r="I62" s="104">
        <v>168</v>
      </c>
      <c r="J62" s="103">
        <v>168</v>
      </c>
      <c r="K62" s="104">
        <v>168</v>
      </c>
      <c r="L62" s="73" t="s">
        <v>12</v>
      </c>
      <c r="M62" s="20" t="s">
        <v>11</v>
      </c>
      <c r="N62" s="73" t="s">
        <v>20</v>
      </c>
      <c r="O62" s="79" t="s">
        <v>251</v>
      </c>
    </row>
    <row r="63" spans="1:23">
      <c r="A63" s="78" t="s">
        <v>107</v>
      </c>
      <c r="B63" s="105">
        <v>0</v>
      </c>
      <c r="C63" s="106">
        <v>144</v>
      </c>
      <c r="D63" s="105">
        <v>144</v>
      </c>
      <c r="E63" s="106">
        <v>144</v>
      </c>
      <c r="F63" s="105">
        <v>144</v>
      </c>
      <c r="G63" s="106">
        <v>144</v>
      </c>
      <c r="H63" s="105">
        <v>144</v>
      </c>
      <c r="I63" s="106">
        <v>144</v>
      </c>
      <c r="J63" s="105">
        <v>144</v>
      </c>
      <c r="K63" s="106">
        <v>144</v>
      </c>
      <c r="L63" s="75" t="s">
        <v>12</v>
      </c>
      <c r="M63" s="53" t="s">
        <v>11</v>
      </c>
      <c r="N63" s="75" t="s">
        <v>20</v>
      </c>
      <c r="O63" s="81" t="s">
        <v>251</v>
      </c>
      <c r="P63" s="54"/>
      <c r="Q63" s="54"/>
      <c r="R63" s="54"/>
      <c r="S63" s="54"/>
      <c r="T63" s="54"/>
      <c r="U63" s="54"/>
      <c r="V63" s="54"/>
      <c r="W63" s="54"/>
    </row>
    <row r="64" spans="1:23" ht="15" thickBot="1">
      <c r="B64" s="107"/>
      <c r="C64" s="107"/>
      <c r="D64" s="107"/>
      <c r="E64" s="107"/>
      <c r="F64" s="107"/>
      <c r="G64" s="107"/>
      <c r="H64" s="107"/>
      <c r="I64" s="107"/>
      <c r="J64" s="107"/>
      <c r="K64" s="107"/>
    </row>
    <row r="65" spans="1:15" ht="15" thickBot="1">
      <c r="A65" s="57" t="s">
        <v>249</v>
      </c>
      <c r="B65" s="108">
        <f>SUMIF(wincapsSStable[[FuelType]:[FuelType]],"Wind",wincapsSStable[2019])</f>
        <v>168</v>
      </c>
      <c r="C65" s="108">
        <f>SUMIF(wincapsSStable[[FuelType]:[FuelType]],"Wind",wincapsSStable[2020])</f>
        <v>423.6</v>
      </c>
      <c r="D65" s="108">
        <f>SUMIF(wincapsSStable[[FuelType]:[FuelType]],"Wind",wincapsSStable[2021])</f>
        <v>423.6</v>
      </c>
      <c r="E65" s="108">
        <f>SUMIF(wincapsSStable[[FuelType]:[FuelType]],"Wind",wincapsSStable[2022])</f>
        <v>423.6</v>
      </c>
      <c r="F65" s="108">
        <f>SUMIF(wincapsSStable[[FuelType]:[FuelType]],"Wind",wincapsSStable[2023])</f>
        <v>423.6</v>
      </c>
      <c r="G65" s="108">
        <f>SUMIF(wincapsSStable[[FuelType]:[FuelType]],"Wind",wincapsSStable[2024])</f>
        <v>423.6</v>
      </c>
      <c r="H65" s="108">
        <f>SUMIF(wincapsSStable[[FuelType]:[FuelType]],"Wind",wincapsSStable[2025])</f>
        <v>423.6</v>
      </c>
      <c r="I65" s="108">
        <f>SUMIF(wincapsSStable[[FuelType]:[FuelType]],"Wind",wincapsSStable[2026])</f>
        <v>423.6</v>
      </c>
      <c r="J65" s="108">
        <f>SUMIF(wincapsSStable[[FuelType]:[FuelType]],"Wind",wincapsSStable[2027])</f>
        <v>423.6</v>
      </c>
      <c r="K65" s="108">
        <f>SUMIF(wincapsSStable[[FuelType]:[FuelType]],"Wind",wincapsSStable[2028])</f>
        <v>423.6</v>
      </c>
      <c r="L65" s="58"/>
      <c r="M65" s="54"/>
      <c r="N65" s="54"/>
      <c r="O65" s="54"/>
    </row>
  </sheetData>
  <mergeCells count="4">
    <mergeCell ref="A29:L29"/>
    <mergeCell ref="A30:L30"/>
    <mergeCell ref="A31:L31"/>
    <mergeCell ref="P30:W31"/>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21"/>
  <sheetViews>
    <sheetView workbookViewId="0"/>
  </sheetViews>
  <sheetFormatPr defaultColWidth="9.1796875" defaultRowHeight="14.5"/>
  <cols>
    <col min="1" max="1" width="26.453125" style="30" bestFit="1" customWidth="1"/>
    <col min="2" max="2" width="26.81640625" style="30" bestFit="1" customWidth="1"/>
    <col min="3" max="3" width="25.54296875" style="30" bestFit="1" customWidth="1"/>
    <col min="4" max="4" width="26" style="30" bestFit="1" customWidth="1"/>
    <col min="5" max="5" width="22" style="30" bestFit="1" customWidth="1"/>
    <col min="6" max="6" width="16.81640625" style="30" bestFit="1" customWidth="1"/>
    <col min="7" max="7" width="11" style="30" hidden="1" customWidth="1"/>
    <col min="8" max="8" width="19.54296875" style="30" hidden="1" customWidth="1"/>
    <col min="9" max="9" width="26.81640625" style="97" hidden="1" customWidth="1"/>
    <col min="10" max="10" width="26.81640625" style="30" hidden="1" customWidth="1"/>
    <col min="11" max="16384" width="9.1796875" style="30"/>
  </cols>
  <sheetData>
    <row r="1" spans="1:9" ht="19.5" thickBot="1">
      <c r="A1" s="60" t="s">
        <v>70</v>
      </c>
    </row>
    <row r="2" spans="1:9" ht="15" thickBot="1">
      <c r="A2" s="59" t="s">
        <v>1</v>
      </c>
      <c r="B2" s="59" t="s">
        <v>2</v>
      </c>
      <c r="C2" s="59" t="s">
        <v>71</v>
      </c>
      <c r="D2" s="59" t="s">
        <v>3</v>
      </c>
      <c r="E2" s="59" t="s">
        <v>4</v>
      </c>
      <c r="F2" s="59" t="s">
        <v>6</v>
      </c>
      <c r="G2" s="2" t="s">
        <v>7</v>
      </c>
      <c r="H2" s="2" t="s">
        <v>127</v>
      </c>
      <c r="I2" s="2" t="s">
        <v>123</v>
      </c>
    </row>
    <row r="3" spans="1:9" ht="15" thickBot="1">
      <c r="A3" s="17" t="s">
        <v>75</v>
      </c>
      <c r="B3" s="13" t="s">
        <v>17</v>
      </c>
      <c r="C3" s="21">
        <v>14.4</v>
      </c>
      <c r="D3" s="13" t="s">
        <v>19</v>
      </c>
      <c r="E3" s="21" t="s">
        <v>15</v>
      </c>
      <c r="F3" s="13" t="s">
        <v>72</v>
      </c>
      <c r="G3" s="21" t="s">
        <v>20</v>
      </c>
      <c r="H3" s="13" t="s">
        <v>15</v>
      </c>
      <c r="I3" s="21" t="s">
        <v>118</v>
      </c>
    </row>
    <row r="4" spans="1:9" ht="15" thickBot="1">
      <c r="A4" s="16" t="s">
        <v>76</v>
      </c>
      <c r="B4" s="12" t="s">
        <v>17</v>
      </c>
      <c r="C4" s="20">
        <v>17</v>
      </c>
      <c r="D4" s="12" t="s">
        <v>19</v>
      </c>
      <c r="E4" s="20" t="s">
        <v>15</v>
      </c>
      <c r="F4" s="13" t="s">
        <v>72</v>
      </c>
      <c r="G4" s="20" t="s">
        <v>20</v>
      </c>
      <c r="H4" s="12" t="s">
        <v>15</v>
      </c>
      <c r="I4" s="20" t="s">
        <v>118</v>
      </c>
    </row>
    <row r="5" spans="1:9" ht="15" thickBot="1">
      <c r="A5" s="16" t="s">
        <v>77</v>
      </c>
      <c r="B5" s="12" t="s">
        <v>24</v>
      </c>
      <c r="C5" s="20">
        <v>1.69</v>
      </c>
      <c r="D5" s="12" t="s">
        <v>258</v>
      </c>
      <c r="E5" s="20" t="s">
        <v>74</v>
      </c>
      <c r="F5" s="13" t="s">
        <v>72</v>
      </c>
      <c r="G5" s="20" t="s">
        <v>20</v>
      </c>
      <c r="H5" s="12" t="s">
        <v>115</v>
      </c>
      <c r="I5" s="20" t="s">
        <v>118</v>
      </c>
    </row>
    <row r="6" spans="1:9" ht="15" thickBot="1">
      <c r="A6" s="16" t="s">
        <v>78</v>
      </c>
      <c r="B6" s="12" t="s">
        <v>24</v>
      </c>
      <c r="C6" s="20">
        <v>1</v>
      </c>
      <c r="D6" s="12" t="s">
        <v>258</v>
      </c>
      <c r="E6" s="20" t="s">
        <v>74</v>
      </c>
      <c r="F6" s="13" t="s">
        <v>72</v>
      </c>
      <c r="G6" s="20" t="s">
        <v>20</v>
      </c>
      <c r="H6" s="12" t="s">
        <v>115</v>
      </c>
      <c r="I6" s="20" t="s">
        <v>118</v>
      </c>
    </row>
    <row r="7" spans="1:9" ht="15" thickBot="1">
      <c r="A7" s="16" t="s">
        <v>79</v>
      </c>
      <c r="B7" s="12" t="s">
        <v>17</v>
      </c>
      <c r="C7" s="20">
        <v>8.4</v>
      </c>
      <c r="D7" s="12" t="s">
        <v>19</v>
      </c>
      <c r="E7" s="20" t="s">
        <v>15</v>
      </c>
      <c r="F7" s="13" t="s">
        <v>72</v>
      </c>
      <c r="G7" s="20" t="s">
        <v>20</v>
      </c>
      <c r="H7" s="12" t="s">
        <v>15</v>
      </c>
      <c r="I7" s="20" t="s">
        <v>118</v>
      </c>
    </row>
    <row r="8" spans="1:9" ht="15" thickBot="1">
      <c r="A8" s="16" t="s">
        <v>80</v>
      </c>
      <c r="B8" s="12" t="s">
        <v>17</v>
      </c>
      <c r="C8" s="20">
        <v>3.2</v>
      </c>
      <c r="D8" s="12" t="s">
        <v>19</v>
      </c>
      <c r="E8" s="20" t="s">
        <v>15</v>
      </c>
      <c r="F8" s="13" t="s">
        <v>72</v>
      </c>
      <c r="G8" s="20" t="s">
        <v>20</v>
      </c>
      <c r="H8" s="12" t="s">
        <v>15</v>
      </c>
      <c r="I8" s="20" t="s">
        <v>118</v>
      </c>
    </row>
    <row r="9" spans="1:9" ht="15" thickBot="1">
      <c r="A9" s="16" t="s">
        <v>318</v>
      </c>
      <c r="B9" s="12" t="s">
        <v>91</v>
      </c>
      <c r="C9" s="20">
        <v>6</v>
      </c>
      <c r="D9" s="12" t="s">
        <v>19</v>
      </c>
      <c r="E9" s="20" t="s">
        <v>15</v>
      </c>
      <c r="F9" s="13" t="s">
        <v>72</v>
      </c>
      <c r="G9" s="20" t="s">
        <v>20</v>
      </c>
      <c r="H9" s="12" t="s">
        <v>15</v>
      </c>
      <c r="I9" s="20" t="s">
        <v>118</v>
      </c>
    </row>
    <row r="10" spans="1:9" ht="15" thickBot="1">
      <c r="A10" s="16" t="s">
        <v>81</v>
      </c>
      <c r="B10" s="12" t="s">
        <v>17</v>
      </c>
      <c r="C10" s="20">
        <v>28</v>
      </c>
      <c r="D10" s="12" t="s">
        <v>19</v>
      </c>
      <c r="E10" s="20" t="s">
        <v>15</v>
      </c>
      <c r="F10" s="13" t="s">
        <v>72</v>
      </c>
      <c r="G10" s="20" t="s">
        <v>20</v>
      </c>
      <c r="H10" s="12" t="s">
        <v>15</v>
      </c>
      <c r="I10" s="20" t="s">
        <v>118</v>
      </c>
    </row>
    <row r="11" spans="1:9" ht="15" thickBot="1">
      <c r="A11" s="16" t="s">
        <v>82</v>
      </c>
      <c r="B11" s="12" t="s">
        <v>73</v>
      </c>
      <c r="C11" s="20">
        <v>2.246</v>
      </c>
      <c r="D11" s="12" t="s">
        <v>258</v>
      </c>
      <c r="E11" s="20" t="s">
        <v>74</v>
      </c>
      <c r="F11" s="13" t="s">
        <v>72</v>
      </c>
      <c r="G11" s="20" t="s">
        <v>20</v>
      </c>
      <c r="H11" s="12" t="s">
        <v>115</v>
      </c>
      <c r="I11" s="20" t="s">
        <v>118</v>
      </c>
    </row>
    <row r="12" spans="1:9" ht="15" thickBot="1">
      <c r="A12" s="16" t="s">
        <v>83</v>
      </c>
      <c r="B12" s="12" t="s">
        <v>17</v>
      </c>
      <c r="C12" s="20">
        <v>28</v>
      </c>
      <c r="D12" s="12" t="s">
        <v>19</v>
      </c>
      <c r="E12" s="20" t="s">
        <v>15</v>
      </c>
      <c r="F12" s="13" t="s">
        <v>72</v>
      </c>
      <c r="G12" s="20" t="s">
        <v>20</v>
      </c>
      <c r="H12" s="12" t="s">
        <v>15</v>
      </c>
      <c r="I12" s="20" t="s">
        <v>118</v>
      </c>
    </row>
    <row r="13" spans="1:9" ht="15" thickBot="1">
      <c r="A13" s="16" t="s">
        <v>84</v>
      </c>
      <c r="B13" s="12" t="s">
        <v>17</v>
      </c>
      <c r="C13" s="20">
        <v>10.5</v>
      </c>
      <c r="D13" s="12" t="s">
        <v>19</v>
      </c>
      <c r="E13" s="20" t="s">
        <v>15</v>
      </c>
      <c r="F13" s="13" t="s">
        <v>72</v>
      </c>
      <c r="G13" s="20" t="s">
        <v>20</v>
      </c>
      <c r="H13" s="12" t="s">
        <v>15</v>
      </c>
      <c r="I13" s="20" t="s">
        <v>118</v>
      </c>
    </row>
    <row r="14" spans="1:9" ht="15" thickBot="1">
      <c r="A14" s="16" t="s">
        <v>234</v>
      </c>
      <c r="B14" s="12" t="s">
        <v>91</v>
      </c>
      <c r="C14" s="20">
        <v>0.2646</v>
      </c>
      <c r="D14" s="12" t="s">
        <v>235</v>
      </c>
      <c r="E14" s="20" t="s">
        <v>25</v>
      </c>
      <c r="F14" s="13" t="s">
        <v>72</v>
      </c>
      <c r="G14" s="20" t="s">
        <v>20</v>
      </c>
      <c r="H14" s="12" t="s">
        <v>25</v>
      </c>
      <c r="I14" s="20" t="s">
        <v>118</v>
      </c>
    </row>
    <row r="15" spans="1:9" ht="15" thickBot="1">
      <c r="A15" s="16" t="s">
        <v>85</v>
      </c>
      <c r="B15" s="12" t="s">
        <v>17</v>
      </c>
      <c r="C15" s="20">
        <v>1.2</v>
      </c>
      <c r="D15" s="12" t="s">
        <v>38</v>
      </c>
      <c r="E15" s="20" t="s">
        <v>15</v>
      </c>
      <c r="F15" s="13" t="s">
        <v>72</v>
      </c>
      <c r="G15" s="20" t="s">
        <v>20</v>
      </c>
      <c r="H15" s="12" t="s">
        <v>15</v>
      </c>
      <c r="I15" s="20" t="s">
        <v>118</v>
      </c>
    </row>
    <row r="16" spans="1:9" ht="15" thickBot="1">
      <c r="A16" s="16" t="s">
        <v>86</v>
      </c>
      <c r="B16" s="12" t="s">
        <v>49</v>
      </c>
      <c r="C16" s="20">
        <v>140</v>
      </c>
      <c r="D16" s="12" t="s">
        <v>10</v>
      </c>
      <c r="E16" s="20" t="s">
        <v>11</v>
      </c>
      <c r="F16" s="13" t="s">
        <v>72</v>
      </c>
      <c r="G16" s="20" t="s">
        <v>20</v>
      </c>
      <c r="H16" s="12" t="s">
        <v>11</v>
      </c>
      <c r="I16" s="20" t="s">
        <v>118</v>
      </c>
    </row>
    <row r="17" spans="1:6" ht="15" thickBot="1"/>
    <row r="18" spans="1:6" ht="15" thickBot="1">
      <c r="A18" s="57" t="s">
        <v>67</v>
      </c>
      <c r="B18" s="120"/>
      <c r="C18" s="122">
        <f>SUM(existingnstable[Nameplate Capacity (MW)])</f>
        <v>261.9006</v>
      </c>
      <c r="D18" s="120"/>
      <c r="E18" s="121"/>
      <c r="F18" s="120"/>
    </row>
    <row r="20" spans="1:6">
      <c r="C20" s="146"/>
    </row>
    <row r="21" spans="1:6">
      <c r="C21" s="146"/>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17"/>
  <sheetViews>
    <sheetView workbookViewId="0"/>
  </sheetViews>
  <sheetFormatPr defaultColWidth="9.1796875" defaultRowHeight="14.5"/>
  <cols>
    <col min="1" max="1" width="22.26953125" style="30" bestFit="1" customWidth="1"/>
    <col min="2" max="2" width="62.1796875" style="30" bestFit="1" customWidth="1"/>
    <col min="3" max="3" width="8.81640625" style="30" bestFit="1" customWidth="1"/>
    <col min="4" max="4" width="16.54296875" style="30" bestFit="1" customWidth="1"/>
    <col min="5" max="5" width="8.54296875" style="30" bestFit="1" customWidth="1"/>
    <col min="6" max="6" width="14.7265625" style="30" bestFit="1" customWidth="1"/>
    <col min="7" max="7" width="21" style="30" bestFit="1" customWidth="1"/>
    <col min="8" max="8" width="12" style="30" bestFit="1" customWidth="1"/>
    <col min="9" max="9" width="21.453125" style="30" bestFit="1" customWidth="1"/>
    <col min="10" max="10" width="38.453125" style="30" bestFit="1" customWidth="1"/>
    <col min="11" max="11" width="28.54296875" style="30" hidden="1" customWidth="1"/>
    <col min="12" max="12" width="17.81640625" style="30" hidden="1" customWidth="1"/>
    <col min="13" max="13" width="10.7265625" style="30" hidden="1" customWidth="1"/>
    <col min="14" max="14" width="19.54296875" style="30" hidden="1" customWidth="1"/>
    <col min="15" max="15" width="18" style="72" hidden="1" customWidth="1"/>
    <col min="16" max="16384" width="9.1796875" style="30"/>
  </cols>
  <sheetData>
    <row r="1" spans="1:15" ht="19.5" thickBot="1">
      <c r="A1" s="60" t="s">
        <v>87</v>
      </c>
    </row>
    <row r="2" spans="1:15" ht="21.5" thickBot="1">
      <c r="A2" s="65" t="s">
        <v>88</v>
      </c>
      <c r="B2" s="66" t="s">
        <v>2</v>
      </c>
      <c r="C2" s="66" t="s">
        <v>343</v>
      </c>
      <c r="D2" s="66" t="s">
        <v>3</v>
      </c>
      <c r="E2" s="66" t="s">
        <v>4</v>
      </c>
      <c r="F2" s="66" t="s">
        <v>89</v>
      </c>
      <c r="G2" s="66" t="s">
        <v>71</v>
      </c>
      <c r="H2" s="66" t="s">
        <v>5</v>
      </c>
      <c r="I2" s="66" t="s">
        <v>90</v>
      </c>
      <c r="J2" s="66" t="s">
        <v>259</v>
      </c>
      <c r="K2" s="9" t="s">
        <v>123</v>
      </c>
      <c r="L2" s="9" t="s">
        <v>124</v>
      </c>
      <c r="M2" s="9" t="s">
        <v>125</v>
      </c>
      <c r="N2" s="9" t="s">
        <v>126</v>
      </c>
      <c r="O2" s="10" t="s">
        <v>127</v>
      </c>
    </row>
    <row r="3" spans="1:15" ht="15" thickBot="1">
      <c r="A3" s="88" t="s">
        <v>289</v>
      </c>
      <c r="B3" s="89" t="s">
        <v>290</v>
      </c>
      <c r="C3" s="90" t="s">
        <v>291</v>
      </c>
      <c r="D3" s="91" t="s">
        <v>334</v>
      </c>
      <c r="E3" s="90" t="s">
        <v>15</v>
      </c>
      <c r="F3" s="91" t="s">
        <v>128</v>
      </c>
      <c r="G3" s="90" t="s">
        <v>292</v>
      </c>
      <c r="H3" s="91" t="s">
        <v>8</v>
      </c>
      <c r="I3" s="90" t="s">
        <v>283</v>
      </c>
      <c r="J3" s="91" t="s">
        <v>265</v>
      </c>
      <c r="K3" s="14" t="s">
        <v>120</v>
      </c>
      <c r="L3" s="15">
        <v>300</v>
      </c>
      <c r="M3" s="14" t="s">
        <v>92</v>
      </c>
      <c r="N3" s="15" t="s">
        <v>20</v>
      </c>
      <c r="O3" s="14" t="s">
        <v>15</v>
      </c>
    </row>
    <row r="4" spans="1:15" ht="15" thickBot="1">
      <c r="A4" s="92" t="s">
        <v>293</v>
      </c>
      <c r="B4" s="93" t="s">
        <v>290</v>
      </c>
      <c r="C4" s="94" t="s">
        <v>291</v>
      </c>
      <c r="D4" s="95" t="s">
        <v>334</v>
      </c>
      <c r="E4" s="94" t="s">
        <v>15</v>
      </c>
      <c r="F4" s="95" t="s">
        <v>128</v>
      </c>
      <c r="G4" s="94" t="s">
        <v>294</v>
      </c>
      <c r="H4" s="95" t="s">
        <v>8</v>
      </c>
      <c r="I4" s="94" t="s">
        <v>283</v>
      </c>
      <c r="J4" s="91" t="s">
        <v>265</v>
      </c>
      <c r="K4" s="14" t="s">
        <v>120</v>
      </c>
      <c r="L4" s="15">
        <v>600</v>
      </c>
      <c r="M4" s="14" t="s">
        <v>92</v>
      </c>
      <c r="N4" s="15" t="s">
        <v>20</v>
      </c>
      <c r="O4" s="14" t="s">
        <v>15</v>
      </c>
    </row>
    <row r="5" spans="1:15" ht="15" thickBot="1">
      <c r="A5" s="92" t="s">
        <v>295</v>
      </c>
      <c r="B5" s="93" t="s">
        <v>290</v>
      </c>
      <c r="C5" s="94" t="s">
        <v>291</v>
      </c>
      <c r="D5" s="95" t="s">
        <v>334</v>
      </c>
      <c r="E5" s="94" t="s">
        <v>15</v>
      </c>
      <c r="F5" s="95" t="s">
        <v>128</v>
      </c>
      <c r="G5" s="94" t="s">
        <v>292</v>
      </c>
      <c r="H5" s="95" t="s">
        <v>8</v>
      </c>
      <c r="I5" s="94" t="s">
        <v>283</v>
      </c>
      <c r="J5" s="91" t="s">
        <v>265</v>
      </c>
      <c r="K5" s="14" t="s">
        <v>120</v>
      </c>
      <c r="L5" s="15">
        <v>300</v>
      </c>
      <c r="M5" s="14" t="s">
        <v>92</v>
      </c>
      <c r="N5" s="15" t="s">
        <v>20</v>
      </c>
      <c r="O5" s="14" t="s">
        <v>15</v>
      </c>
    </row>
    <row r="6" spans="1:15" ht="15" thickBot="1">
      <c r="A6" s="92" t="s">
        <v>296</v>
      </c>
      <c r="B6" s="93" t="s">
        <v>290</v>
      </c>
      <c r="C6" s="94" t="s">
        <v>291</v>
      </c>
      <c r="D6" s="95" t="s">
        <v>334</v>
      </c>
      <c r="E6" s="94" t="s">
        <v>15</v>
      </c>
      <c r="F6" s="95" t="s">
        <v>128</v>
      </c>
      <c r="G6" s="94" t="s">
        <v>297</v>
      </c>
      <c r="H6" s="95" t="s">
        <v>8</v>
      </c>
      <c r="I6" s="94" t="s">
        <v>283</v>
      </c>
      <c r="J6" s="91" t="s">
        <v>265</v>
      </c>
      <c r="K6" s="14" t="s">
        <v>120</v>
      </c>
      <c r="L6" s="15">
        <v>500</v>
      </c>
      <c r="M6" s="14" t="s">
        <v>92</v>
      </c>
      <c r="N6" s="15" t="s">
        <v>20</v>
      </c>
      <c r="O6" s="14" t="s">
        <v>15</v>
      </c>
    </row>
    <row r="7" spans="1:15" ht="15" thickBot="1">
      <c r="A7" s="92" t="s">
        <v>298</v>
      </c>
      <c r="B7" s="93" t="s">
        <v>290</v>
      </c>
      <c r="C7" s="94" t="s">
        <v>291</v>
      </c>
      <c r="D7" s="95" t="s">
        <v>334</v>
      </c>
      <c r="E7" s="94" t="s">
        <v>15</v>
      </c>
      <c r="F7" s="95" t="s">
        <v>128</v>
      </c>
      <c r="G7" s="94" t="s">
        <v>294</v>
      </c>
      <c r="H7" s="95" t="s">
        <v>8</v>
      </c>
      <c r="I7" s="94" t="s">
        <v>283</v>
      </c>
      <c r="J7" s="91" t="s">
        <v>265</v>
      </c>
      <c r="K7" s="14" t="s">
        <v>120</v>
      </c>
      <c r="L7" s="15">
        <v>600</v>
      </c>
      <c r="M7" s="14" t="s">
        <v>92</v>
      </c>
      <c r="N7" s="15" t="s">
        <v>20</v>
      </c>
      <c r="O7" s="14" t="s">
        <v>15</v>
      </c>
    </row>
    <row r="8" spans="1:15" ht="15" thickBot="1">
      <c r="A8" s="92" t="s">
        <v>130</v>
      </c>
      <c r="B8" s="93" t="s">
        <v>130</v>
      </c>
      <c r="C8" s="96" t="s">
        <v>68</v>
      </c>
      <c r="D8" s="95" t="s">
        <v>19</v>
      </c>
      <c r="E8" s="96" t="s">
        <v>15</v>
      </c>
      <c r="F8" s="95" t="s">
        <v>128</v>
      </c>
      <c r="G8" s="96" t="s">
        <v>69</v>
      </c>
      <c r="H8" s="95" t="s">
        <v>93</v>
      </c>
      <c r="I8" s="96" t="s">
        <v>283</v>
      </c>
      <c r="J8" s="91"/>
      <c r="K8" s="14" t="s">
        <v>120</v>
      </c>
      <c r="L8" s="15">
        <v>10</v>
      </c>
      <c r="M8" s="14" t="s">
        <v>92</v>
      </c>
      <c r="N8" s="15" t="s">
        <v>20</v>
      </c>
      <c r="O8" s="14" t="s">
        <v>15</v>
      </c>
    </row>
    <row r="9" spans="1:15" ht="15" thickBot="1">
      <c r="A9" s="92" t="s">
        <v>95</v>
      </c>
      <c r="B9" s="93" t="s">
        <v>287</v>
      </c>
      <c r="C9" s="96" t="s">
        <v>299</v>
      </c>
      <c r="D9" s="95" t="s">
        <v>30</v>
      </c>
      <c r="E9" s="96" t="s">
        <v>25</v>
      </c>
      <c r="F9" s="95" t="s">
        <v>128</v>
      </c>
      <c r="G9" s="96" t="s">
        <v>284</v>
      </c>
      <c r="H9" s="95" t="s">
        <v>93</v>
      </c>
      <c r="I9" s="96" t="s">
        <v>283</v>
      </c>
      <c r="J9" s="91" t="s">
        <v>260</v>
      </c>
      <c r="K9" s="14" t="s">
        <v>120</v>
      </c>
      <c r="L9" s="15">
        <v>5</v>
      </c>
      <c r="M9" s="14" t="s">
        <v>92</v>
      </c>
      <c r="N9" s="15" t="s">
        <v>20</v>
      </c>
      <c r="O9" s="14" t="s">
        <v>25</v>
      </c>
    </row>
    <row r="10" spans="1:15" ht="15" thickBot="1">
      <c r="A10" s="92" t="s">
        <v>97</v>
      </c>
      <c r="B10" s="93" t="s">
        <v>98</v>
      </c>
      <c r="C10" s="96" t="s">
        <v>96</v>
      </c>
      <c r="D10" s="95" t="s">
        <v>10</v>
      </c>
      <c r="E10" s="96" t="s">
        <v>11</v>
      </c>
      <c r="F10" s="95" t="s">
        <v>129</v>
      </c>
      <c r="G10" s="96" t="s">
        <v>99</v>
      </c>
      <c r="H10" s="95" t="s">
        <v>12</v>
      </c>
      <c r="I10" s="96" t="s">
        <v>264</v>
      </c>
      <c r="J10" s="91" t="s">
        <v>261</v>
      </c>
      <c r="K10" s="14" t="s">
        <v>119</v>
      </c>
      <c r="L10" s="15">
        <v>111.6</v>
      </c>
      <c r="M10" s="14" t="s">
        <v>92</v>
      </c>
      <c r="N10" s="15" t="s">
        <v>20</v>
      </c>
      <c r="O10" s="14" t="s">
        <v>11</v>
      </c>
    </row>
    <row r="11" spans="1:15" ht="15" thickBot="1">
      <c r="A11" s="92" t="s">
        <v>101</v>
      </c>
      <c r="B11" s="93" t="s">
        <v>102</v>
      </c>
      <c r="C11" s="96" t="s">
        <v>103</v>
      </c>
      <c r="D11" s="95" t="s">
        <v>10</v>
      </c>
      <c r="E11" s="96" t="s">
        <v>11</v>
      </c>
      <c r="F11" s="95" t="s">
        <v>128</v>
      </c>
      <c r="G11" s="96" t="s">
        <v>104</v>
      </c>
      <c r="H11" s="95" t="s">
        <v>93</v>
      </c>
      <c r="I11" s="96" t="s">
        <v>283</v>
      </c>
      <c r="J11" s="91"/>
      <c r="K11" s="14" t="s">
        <v>120</v>
      </c>
      <c r="L11" s="15">
        <v>42</v>
      </c>
      <c r="M11" s="14" t="s">
        <v>92</v>
      </c>
      <c r="N11" s="15" t="s">
        <v>20</v>
      </c>
      <c r="O11" s="14" t="s">
        <v>11</v>
      </c>
    </row>
    <row r="12" spans="1:15" ht="15" thickBot="1">
      <c r="A12" s="92" t="s">
        <v>285</v>
      </c>
      <c r="B12" s="93" t="s">
        <v>286</v>
      </c>
      <c r="C12" s="96" t="s">
        <v>91</v>
      </c>
      <c r="D12" s="95" t="s">
        <v>10</v>
      </c>
      <c r="E12" s="96" t="s">
        <v>11</v>
      </c>
      <c r="F12" s="95" t="s">
        <v>128</v>
      </c>
      <c r="G12" s="96" t="s">
        <v>340</v>
      </c>
      <c r="H12" s="95" t="s">
        <v>12</v>
      </c>
      <c r="I12" s="96" t="s">
        <v>283</v>
      </c>
      <c r="J12" s="91" t="s">
        <v>341</v>
      </c>
      <c r="K12" s="14" t="s">
        <v>120</v>
      </c>
      <c r="L12" s="15">
        <v>1000</v>
      </c>
      <c r="M12" s="14" t="s">
        <v>92</v>
      </c>
      <c r="N12" s="15" t="s">
        <v>20</v>
      </c>
      <c r="O12" s="14" t="s">
        <v>11</v>
      </c>
    </row>
    <row r="13" spans="1:15" ht="15" thickBot="1">
      <c r="A13" s="92" t="s">
        <v>106</v>
      </c>
      <c r="B13" s="93" t="s">
        <v>287</v>
      </c>
      <c r="C13" s="96" t="s">
        <v>284</v>
      </c>
      <c r="D13" s="95" t="s">
        <v>30</v>
      </c>
      <c r="E13" s="96" t="s">
        <v>25</v>
      </c>
      <c r="F13" s="95" t="s">
        <v>128</v>
      </c>
      <c r="G13" s="96" t="s">
        <v>100</v>
      </c>
      <c r="H13" s="95" t="s">
        <v>12</v>
      </c>
      <c r="I13" s="96" t="s">
        <v>283</v>
      </c>
      <c r="J13" s="91" t="s">
        <v>262</v>
      </c>
      <c r="K13" s="14" t="s">
        <v>120</v>
      </c>
      <c r="L13" s="15">
        <v>12.5</v>
      </c>
      <c r="M13" s="14" t="s">
        <v>92</v>
      </c>
      <c r="N13" s="15" t="s">
        <v>20</v>
      </c>
      <c r="O13" s="14" t="s">
        <v>25</v>
      </c>
    </row>
    <row r="14" spans="1:15" ht="15" thickBot="1">
      <c r="A14" s="92" t="s">
        <v>256</v>
      </c>
      <c r="B14" s="93" t="s">
        <v>287</v>
      </c>
      <c r="C14" s="96" t="s">
        <v>257</v>
      </c>
      <c r="D14" s="95" t="s">
        <v>91</v>
      </c>
      <c r="E14" s="96" t="s">
        <v>11</v>
      </c>
      <c r="F14" s="95" t="s">
        <v>128</v>
      </c>
      <c r="G14" s="96" t="s">
        <v>288</v>
      </c>
      <c r="H14" s="95" t="s">
        <v>12</v>
      </c>
      <c r="I14" s="96" t="s">
        <v>283</v>
      </c>
      <c r="J14" s="91" t="s">
        <v>263</v>
      </c>
      <c r="K14" s="14" t="s">
        <v>120</v>
      </c>
      <c r="L14" s="15">
        <v>60</v>
      </c>
      <c r="M14" s="14" t="s">
        <v>92</v>
      </c>
      <c r="N14" s="15" t="s">
        <v>20</v>
      </c>
      <c r="O14" s="14" t="s">
        <v>11</v>
      </c>
    </row>
    <row r="15" spans="1:15">
      <c r="A15" s="113" t="s">
        <v>107</v>
      </c>
      <c r="B15" s="114" t="s">
        <v>108</v>
      </c>
      <c r="C15" s="115" t="s">
        <v>109</v>
      </c>
      <c r="D15" s="116" t="s">
        <v>10</v>
      </c>
      <c r="E15" s="115" t="s">
        <v>11</v>
      </c>
      <c r="F15" s="116" t="s">
        <v>129</v>
      </c>
      <c r="G15" s="115" t="s">
        <v>94</v>
      </c>
      <c r="H15" s="116" t="s">
        <v>12</v>
      </c>
      <c r="I15" s="115" t="s">
        <v>105</v>
      </c>
      <c r="J15" s="117"/>
      <c r="K15" s="118" t="s">
        <v>119</v>
      </c>
      <c r="L15" s="119">
        <v>144</v>
      </c>
      <c r="M15" s="118" t="s">
        <v>92</v>
      </c>
      <c r="N15" s="119" t="s">
        <v>20</v>
      </c>
      <c r="O15" s="118" t="s">
        <v>11</v>
      </c>
    </row>
    <row r="17" spans="1:10">
      <c r="A17" s="177" t="s">
        <v>321</v>
      </c>
      <c r="B17" s="178"/>
      <c r="C17" s="178"/>
      <c r="D17" s="178"/>
      <c r="E17" s="178"/>
      <c r="F17" s="178"/>
      <c r="G17" s="178"/>
      <c r="H17" s="178"/>
      <c r="I17" s="178"/>
      <c r="J17" s="178"/>
    </row>
  </sheetData>
  <mergeCells count="1">
    <mergeCell ref="A17:J17"/>
  </mergeCell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98E9F-2D89-478B-AA2C-5CE341CC2AAE}">
  <dimension ref="B1:M47"/>
  <sheetViews>
    <sheetView workbookViewId="0"/>
  </sheetViews>
  <sheetFormatPr defaultColWidth="9.1796875" defaultRowHeight="14.5"/>
  <cols>
    <col min="1" max="1" width="2.1796875" style="124" customWidth="1"/>
    <col min="2" max="2" width="23.1796875" style="124" customWidth="1"/>
    <col min="3" max="3" width="11.1796875" style="124" bestFit="1" customWidth="1"/>
    <col min="4" max="11" width="10.1796875" style="124" customWidth="1"/>
    <col min="12" max="12" width="9.1796875" style="124"/>
    <col min="13" max="13" width="11.453125" style="124" customWidth="1"/>
    <col min="14" max="16384" width="9.1796875" style="124"/>
  </cols>
  <sheetData>
    <row r="1" spans="2:11" ht="19">
      <c r="B1" s="123" t="s">
        <v>266</v>
      </c>
    </row>
    <row r="2" spans="2:11" ht="36.75" customHeight="1">
      <c r="B2" s="184" t="s">
        <v>300</v>
      </c>
      <c r="C2" s="184"/>
      <c r="D2" s="184"/>
      <c r="E2" s="184"/>
      <c r="F2" s="184"/>
      <c r="G2" s="184"/>
      <c r="H2" s="184"/>
      <c r="I2" s="184"/>
      <c r="J2" s="184"/>
      <c r="K2" s="184"/>
    </row>
    <row r="3" spans="2:11" ht="35.25" customHeight="1">
      <c r="B3" s="184" t="s">
        <v>301</v>
      </c>
      <c r="C3" s="184"/>
      <c r="D3" s="184"/>
      <c r="E3" s="184"/>
      <c r="F3" s="184"/>
      <c r="G3" s="184"/>
      <c r="H3" s="184"/>
      <c r="I3" s="184"/>
      <c r="J3" s="184"/>
      <c r="K3" s="184"/>
    </row>
    <row r="4" spans="2:11" ht="14.25" customHeight="1">
      <c r="B4" s="188" t="s">
        <v>302</v>
      </c>
      <c r="C4" s="188"/>
      <c r="D4" s="188"/>
      <c r="E4" s="188"/>
      <c r="F4" s="188"/>
      <c r="G4" s="188"/>
      <c r="H4" s="188"/>
      <c r="I4" s="188"/>
      <c r="J4" s="188"/>
      <c r="K4" s="188"/>
    </row>
    <row r="5" spans="2:11" ht="39" customHeight="1">
      <c r="B5" s="189" t="s">
        <v>303</v>
      </c>
      <c r="C5" s="189"/>
      <c r="D5" s="189"/>
      <c r="E5" s="189"/>
      <c r="F5" s="189"/>
      <c r="G5" s="189"/>
      <c r="H5" s="189"/>
      <c r="I5" s="189"/>
      <c r="J5" s="189"/>
      <c r="K5" s="189"/>
    </row>
    <row r="6" spans="2:11" ht="13.5" customHeight="1">
      <c r="B6" s="125"/>
      <c r="C6" s="125"/>
      <c r="D6" s="125"/>
      <c r="E6" s="125"/>
      <c r="F6" s="125"/>
      <c r="G6" s="125"/>
      <c r="H6" s="125"/>
      <c r="I6" s="125"/>
      <c r="J6" s="125"/>
      <c r="K6" s="125"/>
    </row>
    <row r="7" spans="2:11" ht="49.5" customHeight="1">
      <c r="B7" s="188" t="s">
        <v>304</v>
      </c>
      <c r="C7" s="188"/>
      <c r="D7" s="188"/>
      <c r="E7" s="188"/>
      <c r="F7" s="188"/>
      <c r="G7" s="188"/>
      <c r="H7" s="188"/>
      <c r="I7" s="188"/>
      <c r="J7" s="188"/>
      <c r="K7" s="188"/>
    </row>
    <row r="8" spans="2:11" ht="13.5" customHeight="1">
      <c r="B8" s="125"/>
      <c r="C8" s="125"/>
      <c r="D8" s="125"/>
      <c r="E8" s="125"/>
      <c r="F8" s="125"/>
      <c r="G8" s="125"/>
      <c r="H8" s="125"/>
      <c r="I8" s="125"/>
      <c r="J8" s="125"/>
      <c r="K8" s="125"/>
    </row>
    <row r="9" spans="2:11">
      <c r="B9" s="126" t="s">
        <v>204</v>
      </c>
    </row>
    <row r="10" spans="2:11" ht="28.5" customHeight="1">
      <c r="B10" s="184" t="s">
        <v>205</v>
      </c>
      <c r="C10" s="184"/>
      <c r="D10" s="184"/>
      <c r="E10" s="184"/>
      <c r="F10" s="184"/>
      <c r="G10" s="184"/>
      <c r="H10" s="184"/>
      <c r="I10" s="184"/>
      <c r="J10" s="184"/>
      <c r="K10" s="184"/>
    </row>
    <row r="11" spans="2:11" ht="39" customHeight="1">
      <c r="B11" s="184" t="s">
        <v>206</v>
      </c>
      <c r="C11" s="184"/>
      <c r="D11" s="184"/>
      <c r="E11" s="184"/>
      <c r="F11" s="184"/>
      <c r="G11" s="184"/>
      <c r="H11" s="184"/>
      <c r="I11" s="184"/>
      <c r="J11" s="184"/>
      <c r="K11" s="184"/>
    </row>
    <row r="12" spans="2:11" ht="15.75" customHeight="1">
      <c r="B12" s="127" t="s">
        <v>207</v>
      </c>
    </row>
    <row r="13" spans="2:11" ht="27" customHeight="1">
      <c r="B13" s="185" t="s">
        <v>208</v>
      </c>
      <c r="C13" s="186"/>
      <c r="D13" s="186"/>
      <c r="E13" s="186"/>
      <c r="F13" s="186"/>
      <c r="G13" s="186"/>
      <c r="H13" s="186"/>
      <c r="I13" s="186"/>
      <c r="J13" s="186"/>
      <c r="K13" s="186"/>
    </row>
    <row r="14" spans="2:11" ht="49.5" customHeight="1">
      <c r="B14" s="186" t="s">
        <v>209</v>
      </c>
      <c r="C14" s="186"/>
      <c r="D14" s="186"/>
      <c r="E14" s="186"/>
      <c r="F14" s="186"/>
      <c r="G14" s="186"/>
      <c r="H14" s="186"/>
      <c r="I14" s="186"/>
      <c r="J14" s="186"/>
      <c r="K14" s="186"/>
    </row>
    <row r="15" spans="2:11">
      <c r="B15" s="128"/>
    </row>
    <row r="16" spans="2:11">
      <c r="B16" s="129" t="s">
        <v>210</v>
      </c>
    </row>
    <row r="17" spans="2:12" ht="15" thickBot="1">
      <c r="B17" s="130" t="s">
        <v>211</v>
      </c>
      <c r="C17" s="131" t="s">
        <v>212</v>
      </c>
      <c r="D17" s="131" t="s">
        <v>213</v>
      </c>
    </row>
    <row r="18" spans="2:12" ht="15.5" thickTop="1" thickBot="1">
      <c r="B18" s="132" t="s">
        <v>214</v>
      </c>
      <c r="C18" s="133">
        <v>37</v>
      </c>
      <c r="D18" s="133">
        <v>15</v>
      </c>
    </row>
    <row r="19" spans="2:12" ht="15" thickBot="1">
      <c r="B19" s="132" t="s">
        <v>215</v>
      </c>
      <c r="C19" s="133">
        <v>42</v>
      </c>
      <c r="D19" s="133">
        <v>9</v>
      </c>
    </row>
    <row r="20" spans="2:12" ht="15" thickBot="1">
      <c r="B20" s="132" t="s">
        <v>216</v>
      </c>
      <c r="C20" s="133">
        <v>41</v>
      </c>
      <c r="D20" s="133">
        <v>8</v>
      </c>
    </row>
    <row r="21" spans="2:12" ht="15" thickBot="1">
      <c r="B21" s="132" t="s">
        <v>217</v>
      </c>
      <c r="C21" s="133">
        <v>43</v>
      </c>
      <c r="D21" s="133">
        <v>11</v>
      </c>
    </row>
    <row r="22" spans="2:12" ht="15" thickBot="1">
      <c r="B22" s="132" t="s">
        <v>218</v>
      </c>
      <c r="C22" s="133">
        <v>7.7</v>
      </c>
      <c r="D22" s="133">
        <v>1.2</v>
      </c>
    </row>
    <row r="23" spans="2:12">
      <c r="B23" s="134"/>
    </row>
    <row r="24" spans="2:12">
      <c r="B24" s="126" t="s">
        <v>219</v>
      </c>
    </row>
    <row r="25" spans="2:12" ht="25.5" customHeight="1">
      <c r="B25" s="184" t="s">
        <v>220</v>
      </c>
      <c r="C25" s="184"/>
      <c r="D25" s="184"/>
      <c r="E25" s="184"/>
      <c r="F25" s="184"/>
      <c r="G25" s="184"/>
      <c r="H25" s="184"/>
      <c r="I25" s="184"/>
      <c r="J25" s="184"/>
      <c r="K25" s="184"/>
    </row>
    <row r="26" spans="2:12">
      <c r="B26" s="127"/>
    </row>
    <row r="27" spans="2:12" ht="19">
      <c r="B27" s="135" t="s">
        <v>221</v>
      </c>
    </row>
    <row r="28" spans="2:12">
      <c r="B28" s="127" t="s">
        <v>222</v>
      </c>
    </row>
    <row r="29" spans="2:12" s="136" customFormat="1" ht="27.75" customHeight="1">
      <c r="B29" s="184" t="s">
        <v>305</v>
      </c>
      <c r="C29" s="184"/>
      <c r="D29" s="184"/>
      <c r="E29" s="184"/>
      <c r="F29" s="184"/>
      <c r="G29" s="184"/>
      <c r="H29" s="184"/>
      <c r="I29" s="184"/>
      <c r="J29" s="184"/>
      <c r="K29" s="184"/>
    </row>
    <row r="30" spans="2:12">
      <c r="B30" s="127" t="s">
        <v>306</v>
      </c>
    </row>
    <row r="31" spans="2:12">
      <c r="B31" s="128" t="s">
        <v>307</v>
      </c>
    </row>
    <row r="32" spans="2:12" ht="17.25" customHeight="1">
      <c r="B32" s="137"/>
      <c r="C32" s="187" t="s">
        <v>269</v>
      </c>
      <c r="D32" s="187"/>
      <c r="E32" s="187"/>
      <c r="F32" s="187"/>
      <c r="G32" s="187"/>
      <c r="H32" s="187"/>
      <c r="I32" s="187"/>
      <c r="J32" s="187"/>
      <c r="K32" s="187"/>
      <c r="L32" s="187"/>
    </row>
    <row r="33" spans="2:13" ht="30" customHeight="1">
      <c r="B33" s="128"/>
      <c r="C33" s="187" t="s">
        <v>308</v>
      </c>
      <c r="D33" s="187"/>
      <c r="E33" s="187"/>
      <c r="F33" s="187"/>
      <c r="G33" s="187"/>
      <c r="H33" s="187"/>
      <c r="I33" s="187"/>
      <c r="J33" s="187"/>
      <c r="K33" s="187"/>
      <c r="L33" s="187"/>
    </row>
    <row r="34" spans="2:13">
      <c r="B34" s="128" t="s">
        <v>267</v>
      </c>
    </row>
    <row r="35" spans="2:13" s="128" customFormat="1" ht="39.75" customHeight="1">
      <c r="C35" s="187" t="s">
        <v>309</v>
      </c>
      <c r="D35" s="187"/>
      <c r="E35" s="187"/>
      <c r="F35" s="187"/>
      <c r="G35" s="187"/>
      <c r="H35" s="187"/>
      <c r="I35" s="187"/>
      <c r="J35" s="187"/>
      <c r="K35" s="187"/>
      <c r="L35" s="187"/>
      <c r="M35" s="124"/>
    </row>
    <row r="36" spans="2:13" s="128" customFormat="1" ht="41.25" customHeight="1">
      <c r="C36" s="187" t="s">
        <v>268</v>
      </c>
      <c r="D36" s="187"/>
      <c r="E36" s="187"/>
      <c r="F36" s="187"/>
      <c r="G36" s="187"/>
      <c r="H36" s="187"/>
      <c r="I36" s="187"/>
      <c r="J36" s="187"/>
      <c r="K36" s="187"/>
      <c r="L36" s="187"/>
      <c r="M36" s="124"/>
    </row>
    <row r="37" spans="2:13" s="128" customFormat="1" ht="74.25" customHeight="1">
      <c r="C37" s="187" t="s">
        <v>310</v>
      </c>
      <c r="D37" s="187"/>
      <c r="E37" s="187"/>
      <c r="F37" s="187"/>
      <c r="G37" s="187"/>
      <c r="H37" s="187"/>
      <c r="I37" s="187"/>
      <c r="J37" s="187"/>
      <c r="K37" s="187"/>
      <c r="L37" s="187"/>
      <c r="M37" s="124"/>
    </row>
    <row r="38" spans="2:13" s="128" customFormat="1" ht="39" customHeight="1">
      <c r="C38" s="187" t="s">
        <v>311</v>
      </c>
      <c r="D38" s="187"/>
      <c r="E38" s="187"/>
      <c r="F38" s="187"/>
      <c r="G38" s="187"/>
      <c r="H38" s="187"/>
      <c r="I38" s="187"/>
      <c r="J38" s="187"/>
      <c r="K38" s="187"/>
      <c r="L38" s="187"/>
      <c r="M38" s="124"/>
    </row>
    <row r="39" spans="2:13" s="136" customFormat="1">
      <c r="B39" s="127"/>
    </row>
    <row r="40" spans="2:13" s="136" customFormat="1">
      <c r="B40" s="138" t="s">
        <v>223</v>
      </c>
    </row>
    <row r="41" spans="2:13" s="136" customFormat="1" ht="15" thickBot="1">
      <c r="B41" s="130" t="s">
        <v>224</v>
      </c>
      <c r="C41" s="182" t="s">
        <v>225</v>
      </c>
      <c r="D41" s="183"/>
      <c r="E41" s="183"/>
      <c r="F41" s="183"/>
      <c r="G41" s="183"/>
      <c r="H41" s="183"/>
      <c r="I41" s="183"/>
      <c r="J41" s="183"/>
    </row>
    <row r="42" spans="2:13" s="136" customFormat="1" ht="27.75" customHeight="1" thickTop="1" thickBot="1">
      <c r="B42" s="132" t="s">
        <v>226</v>
      </c>
      <c r="C42" s="179" t="s">
        <v>227</v>
      </c>
      <c r="D42" s="180"/>
      <c r="E42" s="180"/>
      <c r="F42" s="180"/>
      <c r="G42" s="180"/>
      <c r="H42" s="180"/>
      <c r="I42" s="180"/>
      <c r="J42" s="180"/>
    </row>
    <row r="43" spans="2:13" s="136" customFormat="1" ht="42.75" customHeight="1" thickBot="1">
      <c r="B43" s="132" t="s">
        <v>228</v>
      </c>
      <c r="C43" s="179" t="s">
        <v>229</v>
      </c>
      <c r="D43" s="180"/>
      <c r="E43" s="180"/>
      <c r="F43" s="180"/>
      <c r="G43" s="180"/>
      <c r="H43" s="180"/>
      <c r="I43" s="180"/>
      <c r="J43" s="180"/>
    </row>
    <row r="44" spans="2:13" s="136" customFormat="1" ht="46.5" customHeight="1" thickBot="1">
      <c r="B44" s="132" t="s">
        <v>312</v>
      </c>
      <c r="C44" s="179" t="s">
        <v>313</v>
      </c>
      <c r="D44" s="180"/>
      <c r="E44" s="180"/>
      <c r="F44" s="180"/>
      <c r="G44" s="180"/>
      <c r="H44" s="180"/>
      <c r="I44" s="180"/>
      <c r="J44" s="180"/>
    </row>
    <row r="45" spans="2:13" s="136" customFormat="1" ht="25.5" customHeight="1" thickBot="1">
      <c r="B45" s="132" t="s">
        <v>230</v>
      </c>
      <c r="C45" s="179" t="s">
        <v>231</v>
      </c>
      <c r="D45" s="180"/>
      <c r="E45" s="180"/>
      <c r="F45" s="180"/>
      <c r="G45" s="180"/>
      <c r="H45" s="180"/>
      <c r="I45" s="180"/>
      <c r="J45" s="180"/>
    </row>
    <row r="46" spans="2:13" s="136" customFormat="1" ht="23.25" customHeight="1" thickBot="1">
      <c r="B46" s="132" t="s">
        <v>314</v>
      </c>
      <c r="C46" s="179" t="s">
        <v>315</v>
      </c>
      <c r="D46" s="181"/>
      <c r="E46" s="181"/>
      <c r="F46" s="181"/>
      <c r="G46" s="181"/>
      <c r="H46" s="181"/>
      <c r="I46" s="181"/>
      <c r="J46" s="181"/>
    </row>
    <row r="47" spans="2:13" s="136" customFormat="1" ht="15" thickBot="1">
      <c r="B47" s="139"/>
    </row>
  </sheetData>
  <mergeCells count="23">
    <mergeCell ref="B10:K10"/>
    <mergeCell ref="B2:K2"/>
    <mergeCell ref="B3:K3"/>
    <mergeCell ref="B4:K4"/>
    <mergeCell ref="B5:K5"/>
    <mergeCell ref="B7:K7"/>
    <mergeCell ref="C41:J41"/>
    <mergeCell ref="B11:K11"/>
    <mergeCell ref="B13:K13"/>
    <mergeCell ref="B14:K14"/>
    <mergeCell ref="B25:K25"/>
    <mergeCell ref="B29:K29"/>
    <mergeCell ref="C32:L32"/>
    <mergeCell ref="C33:L33"/>
    <mergeCell ref="C35:L35"/>
    <mergeCell ref="C36:L36"/>
    <mergeCell ref="C37:L37"/>
    <mergeCell ref="C38:L38"/>
    <mergeCell ref="C42:J42"/>
    <mergeCell ref="C43:J43"/>
    <mergeCell ref="C44:J44"/>
    <mergeCell ref="C45:J45"/>
    <mergeCell ref="C46:J46"/>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s q m i d = " c d 5 1 e 4 2 6 - 4 e 3 1 - 4 1 1 d - b c 8 0 - 9 d a d 8 4 d 2 a 4 6 b "   x m l n s = " h t t p : / / s c h e m a s . m i c r o s o f t . c o m / D a t a M a s h u p " > A A A A A E 4 E A A B Q S w M E F A A C A A g A s o E u T p 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s o E u 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L K B L k 6 j 9 S C E R Q E A A E w H A A A T A B w A R m 9 y b X V s Y X M v U 2 V j d G l v b j E u b S C i G A A o o B Q A A A A A A A A A A A A A A A A A A A A A A A A A A A D N 0 k F L w z A Y B u B 7 o f / h o 5 e p i N C b I D t M V k V w m 1 t E k D F G 1 n 5 r I 2 n S J e n q / r 2 p m 9 p T X Y u V 9 d K Q Q t 7 3 6 R e N o W F S A N m / / R v X c R 2 d U I U R C C w i 3 B q 6 4 g h 9 4 G g c s A + R u Q r L D b L h V 0 N q P 1 O N Z 1 5 K x R Z T v e G + d w l e j I K J t b T L + T R H t e t 7 G r m N g A t Y K 5 n C l q U 0 x u U + Y Z n l K 8 5 0 A k W C C k F h X D b q Q + 9 5 Q H o w m Q 2 D G d y + w v x J y T d 7 x s J b n D t M V M p U S + M 7 0 4 a J W H f Z + z u k v r p U E S p Y 7 W x 1 W d g V M b T 8 y c c B x L 8 I R B c E n a c h z T T l v E J w 6 w y j w f g l G J H p 4 6 f h P h g / j O 8 m v x k O M f 7 1 0 i b V M 3 4 c W c n Q e 4 V F u F b h 1 j P I s Y h W g 2 i C o C K C i O m M m j A x u 6 x s 0 K v O q I X t x H E t d Q U T D S 9 g K 9 4 h p r M L e D i / 2 x k 1 Q f z h B f y y n T i u i e 4 D U E s B A i 0 A F A A C A A g A s o E u T p 1 J h 1 q n A A A A + Q A A A B I A A A A A A A A A A A A A A A A A A A A A A E N v b m Z p Z y 9 Q Y W N r Y W d l L n h t b F B L A Q I t A B Q A A g A I A L K B L k 4 P y u m r p A A A A O k A A A A T A A A A A A A A A A A A A A A A A P M A A A B b Q 2 9 u d G V u d F 9 U e X B l c 1 0 u e G 1 s U E s B A i 0 A F A A C A A g A s o E u T q P 1 I I R F A Q A A T A c A A B M A A A A A A A A A A A A A A A A A 5 A E A A E Z v c m 1 1 b G F z L 1 N l Y 3 R p b 2 4 x L m 1 Q S w U G A A A A A A M A A w D C A A A A d 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o 3 s A A A A A A A C B e 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b m V 3 Z G V 2 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T a G V l d D E 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N l Y z M 4 N z V m Y S 0 1 Y m N j L T R i N z A t Y j F l Z i 1 l O W I w Z m Q 5 N z Y x O T U i I C 8 + P E V u d H J 5 I F R 5 c G U 9 I k Z p b G x U Y X J n Z X Q i I F Z h b H V l P S J z b m V 3 Z G V 2 d G F i b G U i I C 8 + P E V u d H J 5 I F R 5 c G U 9 I k Z p b G x M Y X N 0 V X B k Y X R l Z C I g V m F s d W U 9 I m Q y M D E 5 L T A x L T E 0 V D A 1 O j E z O j M x L j k x O D I x O D F a I i A v P j x F b n R y e S B U e X B l P S J G a W x s R X J y b 3 J D b 3 V u d C I g V m F s d W U 9 I m w w I i A v P j x F b n R y e S B U e X B l P S J G a W x s Q 2 9 s d W 1 u V H l w Z X M i I F Z h b H V l P S J z Q m d Z R 0 J n W U d C Z 1 l H Q m d Z R k J n W U c i I C 8 + P E V u d H J 5 I F R 5 c G U 9 I k Z p b G x F c n J v c k N v Z G U i I F Z h b H V l P S J z V W 5 r b m 9 3 b i I g L z 4 8 R W 5 0 c n k g V H l w Z T 0 i R m l s b E N v b H V t b k 5 h b W V z I i B W Y W x 1 Z T 0 i c 1 s m c X V v d D t Q c m 9 q Z W N 0 J n F 1 b 3 Q 7 L C Z x d W 9 0 O 0 9 3 b m V y J n F 1 b 3 Q 7 L C Z x d W 9 0 O 1 V u a X Q g S W Q m c X V v d D s s J n F 1 b 3 Q 7 V G V j a G 5 v b G 9 n e S B U e X B l J n F 1 b 3 Q 7 L C Z x d W 9 0 O 0 Z 1 Z W w g V H l w Z S Z x d W 9 0 O y w m c X V v d D t V b m l 0 I F N 0 Y X R 1 c y Z x d W 9 0 O y w m c X V v d D t O Y W 1 l c G x h d G U g Q 2 F w Y W N p d H k g K E 1 X K S Z x d W 9 0 O y w m c X V v d D t E a X N w Y X R j a C B U e X B l J n F 1 b 3 Q 7 L C Z x d W 9 0 O 0 Z 1 b G w g Q 2 9 t b W V y Y 2 l h b C B V c 2 U g R G F 0 Z S Z x d W 9 0 O y w m c X V v d D t T b 3 V y Y 2 U m c X V v d D s s J n F 1 b 3 Q 7 c 3 V t b W F y e V 9 z d G F 0 d X M m c X V v d D s s J n F 1 b 3 Q 7 b m F t Z X B s Y X R l Y 2 F w Y W N p d H l f b X d f b W F 4 J n F 1 b 3 Q 7 L C Z x d W 9 0 O 2 N h c G F j a X R 5 X 2 V t c H R 5 J n F 1 b 3 Q 7 L C Z x d W 9 0 O 3 J l Z 2 l v b i Z x d W 9 0 O y w m c X V v d D t z d W 1 t Y X J 5 X 2 J 1 Y 2 t l d C Z x d W 9 0 O 1 0 i I C 8 + P E V u d H J 5 I F R 5 c G U 9 I k Z p b G x D b 3 V u d C I g V m F s d W U 9 I m w x M 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b m V 3 Z G V 2 d G F i b G U v U 2 9 1 c m N l L n t Q c m 9 q Z W N 0 L D B 9 J n F 1 b 3 Q 7 L C Z x d W 9 0 O 1 N l Y 3 R p b 2 4 x L 2 5 l d 2 R l d n R h Y m x l L 1 N v d X J j Z S 5 7 T 3 d u Z X I s M X 0 m c X V v d D s s J n F 1 b 3 Q 7 U 2 V j d G l v b j E v b m V 3 Z G V 2 d G F i b G U v U 2 9 1 c m N l L n t V b m l 0 I E l k L D J 9 J n F 1 b 3 Q 7 L C Z x d W 9 0 O 1 N l Y 3 R p b 2 4 x L 2 5 l d 2 R l d n R h Y m x l L 1 N v d X J j Z S 5 7 V G V j a G 5 v b G 9 n e S B U e X B l L D N 9 J n F 1 b 3 Q 7 L C Z x d W 9 0 O 1 N l Y 3 R p b 2 4 x L 2 5 l d 2 R l d n R h Y m x l L 1 N v d X J j Z S 5 7 R n V l b C B U e X B l L D R 9 J n F 1 b 3 Q 7 L C Z x d W 9 0 O 1 N l Y 3 R p b 2 4 x L 2 5 l d 2 R l d n R h Y m x l L 1 N v d X J j Z S 5 7 V W 5 p d C B T d G F 0 d X M s N X 0 m c X V v d D s s J n F 1 b 3 Q 7 U 2 V j d G l v b j E v b m V 3 Z G V 2 d G F i b G U v U 2 9 1 c m N l L n t O Y W 1 l c G x h d G U g Q 2 F w Y W N p d H k g K E 1 X K S w 2 f S Z x d W 9 0 O y w m c X V v d D t T Z W N 0 a W 9 u M S 9 u Z X d k Z X Z 0 Y W J s Z S 9 T b 3 V y Y 2 U u e 0 R p c 3 B h d G N o I F R 5 c G U s N 3 0 m c X V v d D s s J n F 1 b 3 Q 7 U 2 V j d G l v b j E v b m V 3 Z G V 2 d G F i b G U v U 2 9 1 c m N l L n t G d W x s I E N v b W 1 l c m N p Y W w g V X N l I E R h d G U s O H 0 m c X V v d D s s J n F 1 b 3 Q 7 U 2 V j d G l v b j E v b m V 3 Z G V 2 d G F i b G U v U 2 9 1 c m N l L n t T b 3 V y Y 2 U s O X 0 m c X V v d D s s J n F 1 b 3 Q 7 U 2 V j d G l v b j E v b m V 3 Z G V 2 d G F i b G U v U 2 9 1 c m N l L n t z d W 1 t Y X J 5 X 3 N 0 Y X R 1 c y w x M H 0 m c X V v d D s s J n F 1 b 3 Q 7 U 2 V j d G l v b j E v b m V 3 Z G V 2 d G F i b G U v U 2 9 1 c m N l L n t u Y W 1 l c G x h d G V j Y X B h Y 2 l 0 e V 9 t d 1 9 t Y X g s M T F 9 J n F 1 b 3 Q 7 L C Z x d W 9 0 O 1 N l Y 3 R p b 2 4 x L 2 5 l d 2 R l d n R h Y m x l L 1 N v d X J j Z S 5 7 Y 2 F w Y W N p d H l f Z W 1 w d H k s M T J 9 J n F 1 b 3 Q 7 L C Z x d W 9 0 O 1 N l Y 3 R p b 2 4 x L 2 5 l d 2 R l d n R h Y m x l L 1 N v d X J j Z S 5 7 c m V n a W 9 u L D E z f S Z x d W 9 0 O y w m c X V v d D t T Z W N 0 a W 9 u M S 9 u Z X d k Z X Z 0 Y W J s Z S 9 T b 3 V y Y 2 U u e 3 N 1 b W 1 h c n l f Y n V j a 2 V 0 L D E 0 f S Z x d W 9 0 O 1 0 s J n F 1 b 3 Q 7 Q 2 9 s d W 1 u Q 2 9 1 b n Q m c X V v d D s 6 M T U s J n F 1 b 3 Q 7 S 2 V 5 Q 2 9 s d W 1 u T m F t Z X M m c X V v d D s 6 W 1 0 s J n F 1 b 3 Q 7 Q 2 9 s d W 1 u S W R l b n R p d G l l c y Z x d W 9 0 O z p b J n F 1 b 3 Q 7 U 2 V j d G l v b j E v b m V 3 Z G V 2 d G F i b G U v U 2 9 1 c m N l L n t Q c m 9 q Z W N 0 L D B 9 J n F 1 b 3 Q 7 L C Z x d W 9 0 O 1 N l Y 3 R p b 2 4 x L 2 5 l d 2 R l d n R h Y m x l L 1 N v d X J j Z S 5 7 T 3 d u Z X I s M X 0 m c X V v d D s s J n F 1 b 3 Q 7 U 2 V j d G l v b j E v b m V 3 Z G V 2 d G F i b G U v U 2 9 1 c m N l L n t V b m l 0 I E l k L D J 9 J n F 1 b 3 Q 7 L C Z x d W 9 0 O 1 N l Y 3 R p b 2 4 x L 2 5 l d 2 R l d n R h Y m x l L 1 N v d X J j Z S 5 7 V G V j a G 5 v b G 9 n e S B U e X B l L D N 9 J n F 1 b 3 Q 7 L C Z x d W 9 0 O 1 N l Y 3 R p b 2 4 x L 2 5 l d 2 R l d n R h Y m x l L 1 N v d X J j Z S 5 7 R n V l b C B U e X B l L D R 9 J n F 1 b 3 Q 7 L C Z x d W 9 0 O 1 N l Y 3 R p b 2 4 x L 2 5 l d 2 R l d n R h Y m x l L 1 N v d X J j Z S 5 7 V W 5 p d C B T d G F 0 d X M s N X 0 m c X V v d D s s J n F 1 b 3 Q 7 U 2 V j d G l v b j E v b m V 3 Z G V 2 d G F i b G U v U 2 9 1 c m N l L n t O Y W 1 l c G x h d G U g Q 2 F w Y W N p d H k g K E 1 X K S w 2 f S Z x d W 9 0 O y w m c X V v d D t T Z W N 0 a W 9 u M S 9 u Z X d k Z X Z 0 Y W J s Z S 9 T b 3 V y Y 2 U u e 0 R p c 3 B h d G N o I F R 5 c G U s N 3 0 m c X V v d D s s J n F 1 b 3 Q 7 U 2 V j d G l v b j E v b m V 3 Z G V 2 d G F i b G U v U 2 9 1 c m N l L n t G d W x s I E N v b W 1 l c m N p Y W w g V X N l I E R h d G U s O H 0 m c X V v d D s s J n F 1 b 3 Q 7 U 2 V j d G l v b j E v b m V 3 Z G V 2 d G F i b G U v U 2 9 1 c m N l L n t T b 3 V y Y 2 U s O X 0 m c X V v d D s s J n F 1 b 3 Q 7 U 2 V j d G l v b j E v b m V 3 Z G V 2 d G F i b G U v U 2 9 1 c m N l L n t z d W 1 t Y X J 5 X 3 N 0 Y X R 1 c y w x M H 0 m c X V v d D s s J n F 1 b 3 Q 7 U 2 V j d G l v b j E v b m V 3 Z G V 2 d G F i b G U v U 2 9 1 c m N l L n t u Y W 1 l c G x h d G V j Y X B h Y 2 l 0 e V 9 t d 1 9 t Y X g s M T F 9 J n F 1 b 3 Q 7 L C Z x d W 9 0 O 1 N l Y 3 R p b 2 4 x L 2 5 l d 2 R l d n R h Y m x l L 1 N v d X J j Z S 5 7 Y 2 F w Y W N p d H l f Z W 1 w d H k s M T J 9 J n F 1 b 3 Q 7 L C Z x d W 9 0 O 1 N l Y 3 R p b 2 4 x L 2 5 l d 2 R l d n R h Y m x l L 1 N v d X J j Z S 5 7 c m V n a W 9 u L D E z f S Z x d W 9 0 O y w m c X V v d D t T Z W N 0 a W 9 u M S 9 u Z X d k Z X Z 0 Y W J s Z S 9 T b 3 V y Y 2 U u e 3 N 1 b W 1 h c n l f Y n V j a 2 V 0 L D E 0 f S Z x d W 9 0 O 1 0 s J n F 1 b 3 Q 7 U m V s Y X R p b 2 5 z a G l w S W 5 m b y Z x d W 9 0 O z p b X X 0 i I C 8 + P C 9 T d G F i b G V F b n R y a W V z P j w v S X R l b T 4 8 S X R l b T 4 8 S X R l b U x v Y 2 F 0 a W 9 u P j x J d G V t V H l w Z T 5 G b 3 J t d W x h P C 9 J d G V t V H l w Z T 4 8 S X R l b V B h d G g + U 2 V j d G l v b j E v b m V 3 Z G V 2 d G F i b G U v U 2 9 1 c m N l P C 9 J d G V t U G F 0 a D 4 8 L 0 l 0 Z W 1 M b 2 N h d G l v b j 4 8 U 3 R h Y m x l R W 5 0 c m l l c y A v P j w v S X R l b T 4 8 S X R l b T 4 8 S X R l b U x v Y 2 F 0 a W 9 u P j x J d G V t V H l w Z T 5 G b 3 J t d W x h P C 9 J d G V t V H l w Z T 4 8 S X R l b V B h d G g + U 2 V j d G l v b j E v Z X h p c 3 R p b m d z 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U m V j b 3 Z l c n l U Y X J n Z X R T a G V l d C I g V m F s d W U 9 I n N T a G V l d D I 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Q n V m Z m V y T m V 4 d F J l Z n J l c 2 g i I F Z h b H V l P S J s M S I g L z 4 8 R W 5 0 c n k g V H l w Z T 0 i U X V l c n l J R C I g V m F s d W U 9 I n M 0 N m I y N T V l M C 1 m O D h m L T Q 2 M z A t Y W U w N i 1 l M T N k M z U x N j c y N G E i I C 8 + P E V u d H J 5 I F R 5 c G U 9 I k Z p b G x U Y X J n Z X Q i I F Z h b H V l P S J z Z X h p c 3 R p b m d z d G F i b G U i I C 8 + P E V u d H J 5 I F R 5 c G U 9 I k Z p b G x M Y X N 0 V X B k Y X R l Z C I g V m F s d W U 9 I m Q y M D E 5 L T A x L T E 0 V D A 1 O j E z O j M y L j E w N D I y M T V a I i A v P j x F b n R y e S B U e X B l P S J G a W x s R X J y b 3 J D b 3 V u d C I g V m F s d W U 9 I m w w I i A v P j x F b n R y e S B U e X B l P S J G a W x s Q 2 9 s d W 1 u V H l w Z X M i I F Z h b H V l P S J z Q m d Z R 0 J R W U d C Z 1 l H Q m d Z P S I g L z 4 8 R W 5 0 c n k g V H l w Z T 0 i R m l s b E V y c m 9 y Q 2 9 k Z S I g V m F s d W U 9 I n N V b m t u b 3 d u I i A v P j x F b n R y e S B U e X B l P S J G a W x s Q 2 9 s d W 1 u T m F t Z X M i I F Z h b H V l P S J z W y Z x d W 9 0 O 1 B v d 2 V y I F N 0 Y X R p b 2 4 m c X V v d D s s J n F 1 b 3 Q 7 T 3 d u Z X I m c X V v d D s s J n F 1 b 3 Q 7 V W 5 p d C B O d W 1 i Z X I g Y W 5 k I E 5 h b W V w b G F 0 Z S B D Y X B h Y 2 l 0 e S A o T V c p J n F 1 b 3 Q 7 L C Z x d W 9 0 O 0 5 h b W V w b G F 0 Z S B D Y X B h Y 2 l 0 e S A o T V c p J n F 1 b 3 Q 7 L C Z x d W 9 0 O 1 R l Y 2 h u b 2 x v Z 3 k g V H l w Z S Z x d W 9 0 O y w m c X V v d D t G d W V s I F R 5 c G U m c X V v d D s s J n F 1 b 3 Q 7 R G l z c G F 0 Y 2 g g V H l w Z S Z x d W 9 0 O y w m c X V v d D t T Z X J 2 a W N l I F N 0 Y X R 1 c y Z x d W 9 0 O y w m c X V v d D t S Z W d p b 2 4 m c X V v d D s s J n F 1 b 3 Q 7 c 3 V t b W F y e V 9 z d G F 0 d X M m c X V v d D s s J n F 1 b 3 Q 7 c 3 V t b W F y e V 9 i d W N r Z X Q m c X V v d D t d I i A v P j x F b n R y e S B U e X B l P S J G a W x s Q 2 9 1 b n Q i I F Z h b H V l P S J s M j E i I C 8 + P E V u d H J 5 I F R 5 c G U 9 I k Z p b G x T d G F 0 d X M i I F Z h b H V l P S J z Q 2 9 t c G x l d G U i I C 8 + P E V u d H J 5 I F R 5 c G U 9 I k F k Z G V k V G 9 E Y X R h T W 9 k Z W w i I F Z h b H V l P S J s M C I g L z 4 8 R W 5 0 c n k g V H l w Z T 0 i U m V s Y X R p b 2 5 z a G l w S W 5 m b 0 N v b n R h a W 5 l c i I g V m F s d W U 9 I n N 7 J n F 1 b 3 Q 7 Y 2 9 s d W 1 u Q 2 9 1 b n Q m c X V v d D s 6 M T E s J n F 1 b 3 Q 7 a 2 V 5 Q 2 9 s d W 1 u T m F t Z X M m c X V v d D s 6 W 1 0 s J n F 1 b 3 Q 7 c X V l c n l S Z W x h d G l v b n N o a X B z J n F 1 b 3 Q 7 O l t d L C Z x d W 9 0 O 2 N v b H V t b k l k Z W 5 0 a X R p Z X M m c X V v d D s 6 W y Z x d W 9 0 O 1 N l Y 3 R p b 2 4 x L 2 V 4 a X N 0 a W 5 n c 3 R h Y m x l L 1 N v d X J j Z S 5 7 U G 9 3 Z X I g U 3 R h d G l v b i w w f S Z x d W 9 0 O y w m c X V v d D t T Z W N 0 a W 9 u M S 9 l e G l z d G l u Z 3 N 0 Y W J s Z S 9 T b 3 V y Y 2 U u e 0 9 3 b m V y L D F 9 J n F 1 b 3 Q 7 L C Z x d W 9 0 O 1 N l Y 3 R p b 2 4 x L 2 V 4 a X N 0 a W 5 n c 3 R h Y m x l L 1 N v d X J j Z S 5 7 V W 5 p d C B O d W 1 i Z X I g Y W 5 k I E 5 h b W V w b G F 0 Z S B D Y X B h Y 2 l 0 e S A o T V c p L D J 9 J n F 1 b 3 Q 7 L C Z x d W 9 0 O 1 N l Y 3 R p b 2 4 x L 2 V 4 a X N 0 a W 5 n c 3 R h Y m x l L 1 N v d X J j Z S 5 7 T m F t Z X B s Y X R l I E N h c G F j a X R 5 I C h N V y k s M 3 0 m c X V v d D s s J n F 1 b 3 Q 7 U 2 V j d G l v b j E v Z X h p c 3 R p b m d z d G F i b G U v U 2 9 1 c m N l L n t U Z W N o b m 9 s b 2 d 5 I F R 5 c G U s N H 0 m c X V v d D s s J n F 1 b 3 Q 7 U 2 V j d G l v b j E v Z X h p c 3 R p b m d z d G F i b G U v U 2 9 1 c m N l L n t G d W V s I F R 5 c G U s N X 0 m c X V v d D s s J n F 1 b 3 Q 7 U 2 V j d G l v b j E v Z X h p c 3 R p b m d z d G F i b G U v U 2 9 1 c m N l L n t E a X N w Y X R j a C B U e X B l L D Z 9 J n F 1 b 3 Q 7 L C Z x d W 9 0 O 1 N l Y 3 R p b 2 4 x L 2 V 4 a X N 0 a W 5 n c 3 R h Y m x l L 1 N v d X J j Z S 5 7 U 2 V y d m l j Z S B T d G F 0 d X M s N 3 0 m c X V v d D s s J n F 1 b 3 Q 7 U 2 V j d G l v b j E v Z X h p c 3 R p b m d z d G F i b G U v U 2 9 1 c m N l L n t S Z W d p b 2 4 s O H 0 m c X V v d D s s J n F 1 b 3 Q 7 U 2 V j d G l v b j E v Z X h p c 3 R p b m d z d G F i b G U v U 2 9 1 c m N l L n t z d W 1 t Y X J 5 X 3 N 0 Y X R 1 c y w 5 f S Z x d W 9 0 O y w m c X V v d D t T Z W N 0 a W 9 u M S 9 l e G l z d G l u Z 3 N 0 Y W J s Z S 9 T b 3 V y Y 2 U u e 3 N 1 b W 1 h c n l f Y n V j a 2 V 0 L D E w f S Z x d W 9 0 O 1 0 s J n F 1 b 3 Q 7 Q 2 9 s d W 1 u Q 2 9 1 b n Q m c X V v d D s 6 M T E s J n F 1 b 3 Q 7 S 2 V 5 Q 2 9 s d W 1 u T m F t Z X M m c X V v d D s 6 W 1 0 s J n F 1 b 3 Q 7 Q 2 9 s d W 1 u S W R l b n R p d G l l c y Z x d W 9 0 O z p b J n F 1 b 3 Q 7 U 2 V j d G l v b j E v Z X h p c 3 R p b m d z d G F i b G U v U 2 9 1 c m N l L n t Q b 3 d l c i B T d G F 0 a W 9 u L D B 9 J n F 1 b 3 Q 7 L C Z x d W 9 0 O 1 N l Y 3 R p b 2 4 x L 2 V 4 a X N 0 a W 5 n c 3 R h Y m x l L 1 N v d X J j Z S 5 7 T 3 d u Z X I s M X 0 m c X V v d D s s J n F 1 b 3 Q 7 U 2 V j d G l v b j E v Z X h p c 3 R p b m d z d G F i b G U v U 2 9 1 c m N l L n t V b m l 0 I E 5 1 b W J l c i B h b m Q g T m F t Z X B s Y X R l I E N h c G F j a X R 5 I C h N V y k s M n 0 m c X V v d D s s J n F 1 b 3 Q 7 U 2 V j d G l v b j E v Z X h p c 3 R p b m d z d G F i b G U v U 2 9 1 c m N l L n t O Y W 1 l c G x h d G U g Q 2 F w Y W N p d H k g K E 1 X K S w z f S Z x d W 9 0 O y w m c X V v d D t T Z W N 0 a W 9 u M S 9 l e G l z d G l u Z 3 N 0 Y W J s Z S 9 T b 3 V y Y 2 U u e 1 R l Y 2 h u b 2 x v Z 3 k g V H l w Z S w 0 f S Z x d W 9 0 O y w m c X V v d D t T Z W N 0 a W 9 u M S 9 l e G l z d G l u Z 3 N 0 Y W J s Z S 9 T b 3 V y Y 2 U u e 0 Z 1 Z W w g V H l w Z S w 1 f S Z x d W 9 0 O y w m c X V v d D t T Z W N 0 a W 9 u M S 9 l e G l z d G l u Z 3 N 0 Y W J s Z S 9 T b 3 V y Y 2 U u e 0 R p c 3 B h d G N o I F R 5 c G U s N n 0 m c X V v d D s s J n F 1 b 3 Q 7 U 2 V j d G l v b j E v Z X h p c 3 R p b m d z d G F i b G U v U 2 9 1 c m N l L n t T Z X J 2 a W N l I F N 0 Y X R 1 c y w 3 f S Z x d W 9 0 O y w m c X V v d D t T Z W N 0 a W 9 u M S 9 l e G l z d G l u Z 3 N 0 Y W J s Z S 9 T b 3 V y Y 2 U u e 1 J l Z 2 l v b i w 4 f S Z x d W 9 0 O y w m c X V v d D t T Z W N 0 a W 9 u M S 9 l e G l z d G l u Z 3 N 0 Y W J s Z S 9 T b 3 V y Y 2 U u e 3 N 1 b W 1 h c n l f c 3 R h d H V z L D l 9 J n F 1 b 3 Q 7 L C Z x d W 9 0 O 1 N l Y 3 R p b 2 4 x L 2 V 4 a X N 0 a W 5 n c 3 R h Y m x l L 1 N v d X J j Z S 5 7 c 3 V t b W F y e V 9 i d W N r Z X Q s M T B 9 J n F 1 b 3 Q 7 X S w m c X V v d D t S Z W x h d G l v b n N o a X B J b m Z v J n F 1 b 3 Q 7 O l t d f S I g L z 4 8 L 1 N 0 Y W J s Z U V u d H J p Z X M + P C 9 J d G V t P j x J d G V t P j x J d G V t T G 9 j Y X R p b 2 4 + P E l 0 Z W 1 U e X B l P k Z v c m 1 1 b G E 8 L 0 l 0 Z W 1 U e X B l P j x J d G V t U G F 0 a D 5 T Z W N 0 a W 9 u M S 9 l e G l z d G l u Z 3 N 0 Y W J s Z S 9 T b 3 V y Y 2 U 8 L 0 l 0 Z W 1 Q Y X R o P j w v S X R l b U x v Y 2 F 0 a W 9 u P j x T d G F i b G V F b n R y a W V z I C 8 + P C 9 J d G V t P j x J d G V t P j x J d G V t T G 9 j Y X R p b 2 4 + P E l 0 Z W 1 U e X B l P k Z v c m 1 1 b G E 8 L 0 l 0 Z W 1 U e X B l P j x J d G V t U G F 0 a D 5 T Z W N 0 a W 9 u M S 9 l e G l z d G l u Z 2 5 z 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T a G V l d D E i I C 8 + P E V u d H J 5 I F R 5 c G U 9 I l J l Y 2 9 2 Z X J 5 V G F y Z 2 V 0 Q 2 9 s d W 1 u I i B W Y W x 1 Z T 0 i b D E i I C 8 + P E V u d H J 5 I F R 5 c G U 9 I l J l Y 2 9 2 Z X J 5 V G F y Z 2 V 0 U m 9 3 I i B W Y W x 1 Z T 0 i b D I i I C 8 + P E V u d H J 5 I F R 5 c G U 9 I k 5 h b W V V c G R h d G V k Q W Z 0 Z X J G a W x s I i B W Y W x 1 Z T 0 i b D A i I C 8 + P E V u d H J 5 I F R 5 c G U 9 I k Z p b G x l Z E N v b X B s Z X R l U m V z d W x 0 V G 9 X b 3 J r c 2 h l Z X Q i I F Z h b H V l P S J s M S I g L z 4 8 R W 5 0 c n k g V H l w Z T 0 i U X V l c n l J R C I g V m F s d W U 9 I n M 0 M m U w N j I w Y i 1 k M D l k L T R j M G M t Y j Y 2 Y y 1 k N G J l O D M x Y m Y 2 O D M i I C 8 + P E V u d H J 5 I F R 5 c G U 9 I k Z p b G x U Y X J n Z X Q i I F Z h b H V l P S J z Z X h p c 3 R p b m d u c 3 R h Y m x l I i A v P j x F b n R y e S B U e X B l P S J G a W x s T G F z d F V w Z G F 0 Z W Q i I F Z h b H V l P S J k M j A x O S 0 w M S 0 x N F Q w N T o x M z o z M i 4 w O D U 3 M T k y W i I g L z 4 8 R W 5 0 c n k g V H l w Z T 0 i R m l s b E V y c m 9 y Q 2 9 1 b n Q i I F Z h b H V l P S J s M C I g L z 4 8 R W 5 0 c n k g V H l w Z T 0 i R m l s b E N v b H V t b l R 5 c G V z I i B W Y W x 1 Z T 0 i c 0 J n W U Z C Z 1 l H Q m d Z R y I g L z 4 8 R W 5 0 c n k g V H l w Z T 0 i R m l s b E V y c m 9 y Q 2 9 k Z S I g V m F s d W U 9 I n N V b m t u b 3 d u I i A v P j x F b n R y e S B U e X B l P S J G a W x s Q 2 9 s d W 1 u T m F t Z X M i I F Z h b H V l P S J z W y Z x d W 9 0 O 1 B v d 2 V y I F N 0 Y X R p b 2 4 m c X V v d D s s J n F 1 b 3 Q 7 T 3 d u Z X I m c X V v d D s s J n F 1 b 3 Q 7 T m F t Z X B s Y X R l I E N h c G F j a X R 5 I C h N V y k m c X V v d D s s J n F 1 b 3 Q 7 V G V j a G 5 v b G 9 n e S B U e X B l J n F 1 b 3 Q 7 L C Z x d W 9 0 O 0 Z 1 Z W w g V H l w Z S Z x d W 9 0 O y w m c X V v d D t T Z X J 2 a W N l I F N 0 Y X R 1 c y Z x d W 9 0 O y w m c X V v d D t S Z W d p b 2 4 m c X V v d D s s J n F 1 b 3 Q 7 c 3 V t b W F y e V 9 i d W N r Z X Q m c X V v d D s s J n F 1 b 3 Q 7 c 3 V t b W F y e V 9 z d G F 0 d X M m c X V v d D t d I i A v P j x F b n R y e S B U e X B l P S J G a W x s Q 2 9 1 b n Q i I F Z h b H V l P S J s M T Q i I C 8 + P E V u d H J 5 I F R 5 c G U 9 I k Z p b G x T d G F 0 d X M i I F Z h b H V l P S J z Q 2 9 t c G x l d G U i I C 8 + P E V u d H J 5 I F R 5 c G U 9 I k F k Z G V k V G 9 E Y X R h T W 9 k Z W w i I F Z h b H V l P S J s M C I g L z 4 8 R W 5 0 c n k g V H l w Z T 0 i U m V s Y X R p b 2 5 z a G l w S W 5 m b 0 N v b n R h a W 5 l c i I g V m F s d W U 9 I n N 7 J n F 1 b 3 Q 7 Y 2 9 s d W 1 u Q 2 9 1 b n Q m c X V v d D s 6 O S w m c X V v d D t r Z X l D b 2 x 1 b W 5 O Y W 1 l c y Z x d W 9 0 O z p b X S w m c X V v d D t x d W V y e V J l b G F 0 a W 9 u c 2 h p c H M m c X V v d D s 6 W 1 0 s J n F 1 b 3 Q 7 Y 2 9 s d W 1 u S W R l b n R p d G l l c y Z x d W 9 0 O z p b J n F 1 b 3 Q 7 U 2 V j d G l v b j E v Z X h p c 3 R p b m d u c 3 R h Y m x l L 1 N v d X J j Z S 5 7 U G 9 3 Z X I g U 3 R h d G l v b i w w f S Z x d W 9 0 O y w m c X V v d D t T Z W N 0 a W 9 u M S 9 l e G l z d G l u Z 2 5 z d G F i b G U v U 2 9 1 c m N l L n t P d 2 5 l c i w x f S Z x d W 9 0 O y w m c X V v d D t T Z W N 0 a W 9 u M S 9 l e G l z d G l u Z 2 5 z d G F i b G U v U 2 9 1 c m N l L n t O Y W 1 l c G x h d G U g Q 2 F w Y W N p d H k g K E 1 X K S w y f S Z x d W 9 0 O y w m c X V v d D t T Z W N 0 a W 9 u M S 9 l e G l z d G l u Z 2 5 z d G F i b G U v U 2 9 1 c m N l L n t U Z W N o b m 9 s b 2 d 5 I F R 5 c G U s M 3 0 m c X V v d D s s J n F 1 b 3 Q 7 U 2 V j d G l v b j E v Z X h p c 3 R p b m d u c 3 R h Y m x l L 1 N v d X J j Z S 5 7 R n V l b C B U e X B l L D R 9 J n F 1 b 3 Q 7 L C Z x d W 9 0 O 1 N l Y 3 R p b 2 4 x L 2 V 4 a X N 0 a W 5 n b n N 0 Y W J s Z S 9 T b 3 V y Y 2 U u e 1 N l c n Z p Y 2 U g U 3 R h d H V z L D V 9 J n F 1 b 3 Q 7 L C Z x d W 9 0 O 1 N l Y 3 R p b 2 4 x L 2 V 4 a X N 0 a W 5 n b n N 0 Y W J s Z S 9 T b 3 V y Y 2 U u e 1 J l Z 2 l v b i w 2 f S Z x d W 9 0 O y w m c X V v d D t T Z W N 0 a W 9 u M S 9 l e G l z d G l u Z 2 5 z d G F i b G U v U 2 9 1 c m N l L n t z d W 1 t Y X J 5 X 2 J 1 Y 2 t l d C w 3 f S Z x d W 9 0 O y w m c X V v d D t T Z W N 0 a W 9 u M S 9 l e G l z d G l u Z 2 5 z d G F i b G U v U 2 9 1 c m N l L n t z d W 1 t Y X J 5 X 3 N 0 Y X R 1 c y w 4 f S Z x d W 9 0 O 1 0 s J n F 1 b 3 Q 7 Q 2 9 s d W 1 u Q 2 9 1 b n Q m c X V v d D s 6 O S w m c X V v d D t L Z X l D b 2 x 1 b W 5 O Y W 1 l c y Z x d W 9 0 O z p b X S w m c X V v d D t D b 2 x 1 b W 5 J Z G V u d G l 0 a W V z J n F 1 b 3 Q 7 O l s m c X V v d D t T Z W N 0 a W 9 u M S 9 l e G l z d G l u Z 2 5 z d G F i b G U v U 2 9 1 c m N l L n t Q b 3 d l c i B T d G F 0 a W 9 u L D B 9 J n F 1 b 3 Q 7 L C Z x d W 9 0 O 1 N l Y 3 R p b 2 4 x L 2 V 4 a X N 0 a W 5 n b n N 0 Y W J s Z S 9 T b 3 V y Y 2 U u e 0 9 3 b m V y L D F 9 J n F 1 b 3 Q 7 L C Z x d W 9 0 O 1 N l Y 3 R p b 2 4 x L 2 V 4 a X N 0 a W 5 n b n N 0 Y W J s Z S 9 T b 3 V y Y 2 U u e 0 5 h b W V w b G F 0 Z S B D Y X B h Y 2 l 0 e S A o T V c p L D J 9 J n F 1 b 3 Q 7 L C Z x d W 9 0 O 1 N l Y 3 R p b 2 4 x L 2 V 4 a X N 0 a W 5 n b n N 0 Y W J s Z S 9 T b 3 V y Y 2 U u e 1 R l Y 2 h u b 2 x v Z 3 k g V H l w Z S w z f S Z x d W 9 0 O y w m c X V v d D t T Z W N 0 a W 9 u M S 9 l e G l z d G l u Z 2 5 z d G F i b G U v U 2 9 1 c m N l L n t G d W V s I F R 5 c G U s N H 0 m c X V v d D s s J n F 1 b 3 Q 7 U 2 V j d G l v b j E v Z X h p c 3 R p b m d u c 3 R h Y m x l L 1 N v d X J j Z S 5 7 U 2 V y d m l j Z S B T d G F 0 d X M s N X 0 m c X V v d D s s J n F 1 b 3 Q 7 U 2 V j d G l v b j E v Z X h p c 3 R p b m d u c 3 R h Y m x l L 1 N v d X J j Z S 5 7 U m V n a W 9 u L D Z 9 J n F 1 b 3 Q 7 L C Z x d W 9 0 O 1 N l Y 3 R p b 2 4 x L 2 V 4 a X N 0 a W 5 n b n N 0 Y W J s Z S 9 T b 3 V y Y 2 U u e 3 N 1 b W 1 h c n l f Y n V j a 2 V 0 L D d 9 J n F 1 b 3 Q 7 L C Z x d W 9 0 O 1 N l Y 3 R p b 2 4 x L 2 V 4 a X N 0 a W 5 n b n N 0 Y W J s Z S 9 T b 3 V y Y 2 U u e 3 N 1 b W 1 h c n l f c 3 R h d H V z L D h 9 J n F 1 b 3 Q 7 X S w m c X V v d D t S Z W x h d G l v b n N o a X B J b m Z v J n F 1 b 3 Q 7 O l t d f S I g L z 4 8 L 1 N 0 Y W J s Z U V u d H J p Z X M + P C 9 J d G V t P j x J d G V t P j x J d G V t T G 9 j Y X R p b 2 4 + P E l 0 Z W 1 U e X B l P k Z v c m 1 1 b G E 8 L 0 l 0 Z W 1 U e X B l P j x J d G V t U G F 0 a D 5 T Z W N 0 a W 9 u M S 9 l e G l z d G l u Z 2 5 z d G F i b G U v U 2 9 1 c m N l P C 9 J d G V t U G F 0 a D 4 8 L 0 l 0 Z W 1 M b 2 N h d G l v b j 4 8 U 3 R h Y m x l R W 5 0 c m l l c y A v P j w v S X R l b T 4 8 S X R l b T 4 8 S X R l b U x v Y 2 F 0 a W 9 u P j x J d G V t V H l w Z T 5 G b 3 J t d W x h P C 9 J d G V t V H l w Z T 4 8 S X R l b V B h d G g + U 2 V j d G l v b j E v c 3 V t Y 2 F w c 2 F s b H 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k Z p b G x U Y X J n Z X Q i I F Z h b H V l P S J z c 3 V t Y 2 F w c 2 F s b H R h Y m x l I i A v P j x F b n R y e S B U e X B l P S J S Z W N v d m V y e V R h c m d l d F N o Z W V 0 I i B W Y W x 1 Z T 0 i c 1 N 1 b W 1 l c i B T Y 2 h l Z H V s Z W Q g Q 2 F w Y W N p d G l l c y 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R d W V y e U l E I i B W Y W x 1 Z T 0 i c 2 N k N D U 4 Y z A 4 L T I 3 N z M t N D d i N C 1 i N j k 0 L T g 3 M j B i Z m J h O T E 1 N y I g L z 4 8 R W 5 0 c n k g V H l w Z T 0 i R m l s b E x h c 3 R V c G R h d G V k I i B W Y W x 1 Z T 0 i Z D I w M T k t M D E t M T R U M D U 6 M T M 6 M z Y u N T k 3 M T M 0 M l o i I C 8 + P E V u d H J 5 I F R 5 c G U 9 I k Z p b G x F c n J v c k N v d W 5 0 I i B W Y W x 1 Z T 0 i b D A i I C 8 + P E V u d H J 5 I F R 5 c G U 9 I k Z p b G x D b 2 x 1 b W 5 U e X B l c y I g V m F s d W U 9 I n N C Z 1 V G Q l F V R k J R V U Z C U V V H Q m d Z R y I g L z 4 8 R W 5 0 c n k g V H l w Z T 0 i R m l s b E V y c m 9 y Q 2 9 k Z S I g V m F s d W U 9 I n N V b m t u b 3 d u I i A v P j x F b n R y e S B U e X B l P S J G a W x s Q 2 9 s d W 1 u T m F t Z X M i I F Z h b H V l P S J z W y Z x d W 9 0 O 1 B v d 2 V y U 3 R h d G l v b i Z x d W 9 0 O y w m c X V v d D s y M D E 4 M T k m c X V v d D s s J n F 1 b 3 Q 7 M j A x O T I w J n F 1 b 3 Q 7 L C Z x d W 9 0 O z I w M j A y M S Z x d W 9 0 O y w m c X V v d D s y M D I x M j I m c X V v d D s s J n F 1 b 3 Q 7 M j A y M j I z J n F 1 b 3 Q 7 L C Z x d W 9 0 O z I w M j M y N C Z x d W 9 0 O y w m c X V v d D s y M D I 0 M j U m c X V v d D s s J n F 1 b 3 Q 7 M j A y N T I 2 J n F 1 b 3 Q 7 L C Z x d W 9 0 O z I w M j Y y N y Z x d W 9 0 O y w m c X V v d D s y M D I 3 M j g m c X V v d D s s J n F 1 b 3 Q 7 R G l z c G F 0 Y 2 h U e X B l J n F 1 b 3 Q 7 L C Z x d W 9 0 O 0 Z 1 Z W x U e X B l J n F 1 b 3 Q 7 L C Z x d W 9 0 O 1 J l Z 2 l v b i Z x d W 9 0 O y w m c X V v d D t T Z W F z b 2 4 m c X V v d D t d I i A v P j x F b n R y e S B U e X B l P S J G a W x s Q 2 9 1 b n Q i I F Z h b H V l P S J s M j M i I C 8 + P E V u d H J 5 I F R 5 c G U 9 I k Z p b G x T d G F 0 d X M i I F Z h b H V l P S J z Q 2 9 t c G x l d G U i I C 8 + P E V u d H J 5 I F R 5 c G U 9 I k F k Z G V k V G 9 E Y X R h T W 9 k Z W w i I F Z h b H V l P S J s M C I g L z 4 8 R W 5 0 c n k g V H l w Z T 0 i U m V s Y X R p b 2 5 z a G l w S W 5 m b 0 N v b n R h a W 5 l c i I g V m F s d W U 9 I n N 7 J n F 1 b 3 Q 7 Y 2 9 s d W 1 u Q 2 9 1 b n Q m c X V v d D s 6 M T U s J n F 1 b 3 Q 7 a 2 V 5 Q 2 9 s d W 1 u T m F t Z X M m c X V v d D s 6 W 1 0 s J n F 1 b 3 Q 7 c X V l c n l S Z W x h d G l v b n N o a X B z J n F 1 b 3 Q 7 O l t d L C Z x d W 9 0 O 2 N v b H V t b k l k Z W 5 0 a X R p Z X M m c X V v d D s 6 W y Z x d W 9 0 O 1 N l Y 3 R p b 2 4 x L 3 N 1 b W N h c H N h b G x 0 Y W J s Z S 9 T b 3 V y Y 2 U u e 1 B v d 2 V y U 3 R h d G l v b i w w f S Z x d W 9 0 O y w m c X V v d D t T Z W N 0 a W 9 u M S 9 z d W 1 j Y X B z Y W x s d G F i b G U v U 2 9 1 c m N l L n s y M D E 4 M T k s M X 0 m c X V v d D s s J n F 1 b 3 Q 7 U 2 V j d G l v b j E v c 3 V t Y 2 F w c 2 F s b H R h Y m x l L 1 N v d X J j Z S 5 7 M j A x O T I w L D J 9 J n F 1 b 3 Q 7 L C Z x d W 9 0 O 1 N l Y 3 R p b 2 4 x L 3 N 1 b W N h c H N h b G x 0 Y W J s Z S 9 T b 3 V y Y 2 U u e z I w M j A y M S w z f S Z x d W 9 0 O y w m c X V v d D t T Z W N 0 a W 9 u M S 9 z d W 1 j Y X B z Y W x s d G F i b G U v U 2 9 1 c m N l L n s y M D I x M j I s N H 0 m c X V v d D s s J n F 1 b 3 Q 7 U 2 V j d G l v b j E v c 3 V t Y 2 F w c 2 F s b H R h Y m x l L 1 N v d X J j Z S 5 7 M j A y M j I z L D V 9 J n F 1 b 3 Q 7 L C Z x d W 9 0 O 1 N l Y 3 R p b 2 4 x L 3 N 1 b W N h c H N h b G x 0 Y W J s Z S 9 T b 3 V y Y 2 U u e z I w M j M y N C w 2 f S Z x d W 9 0 O y w m c X V v d D t T Z W N 0 a W 9 u M S 9 z d W 1 j Y X B z Y W x s d G F i b G U v U 2 9 1 c m N l L n s y M D I 0 M j U s N 3 0 m c X V v d D s s J n F 1 b 3 Q 7 U 2 V j d G l v b j E v c 3 V t Y 2 F w c 2 F s b H R h Y m x l L 1 N v d X J j Z S 5 7 M j A y N T I 2 L D h 9 J n F 1 b 3 Q 7 L C Z x d W 9 0 O 1 N l Y 3 R p b 2 4 x L 3 N 1 b W N h c H N h b G x 0 Y W J s Z S 9 T b 3 V y Y 2 U u e z I w M j Y y N y w 5 f S Z x d W 9 0 O y w m c X V v d D t T Z W N 0 a W 9 u M S 9 z d W 1 j Y X B z Y W x s d G F i b G U v U 2 9 1 c m N l L n s y M D I 3 M j g s M T B 9 J n F 1 b 3 Q 7 L C Z x d W 9 0 O 1 N l Y 3 R p b 2 4 x L 3 N 1 b W N h c H N h b G x 0 Y W J s Z S 9 T b 3 V y Y 2 U u e 0 R p c 3 B h d G N o V H l w Z S w x M X 0 m c X V v d D s s J n F 1 b 3 Q 7 U 2 V j d G l v b j E v c 3 V t Y 2 F w c 2 F s b H R h Y m x l L 1 N v d X J j Z S 5 7 R n V l b F R 5 c G U s M T J 9 J n F 1 b 3 Q 7 L C Z x d W 9 0 O 1 N l Y 3 R p b 2 4 x L 3 N 1 b W N h c H N h b G x 0 Y W J s Z S 9 T b 3 V y Y 2 U u e 1 J l Z 2 l v b i w x M 3 0 m c X V v d D s s J n F 1 b 3 Q 7 U 2 V j d G l v b j E v c 3 V t Y 2 F w c 2 F s b H R h Y m x l L 1 N v d X J j Z S 5 7 U 2 V h c 2 9 u L D E 0 f S Z x d W 9 0 O 1 0 s J n F 1 b 3 Q 7 Q 2 9 s d W 1 u Q 2 9 1 b n Q m c X V v d D s 6 M T U s J n F 1 b 3 Q 7 S 2 V 5 Q 2 9 s d W 1 u T m F t Z X M m c X V v d D s 6 W 1 0 s J n F 1 b 3 Q 7 Q 2 9 s d W 1 u S W R l b n R p d G l l c y Z x d W 9 0 O z p b J n F 1 b 3 Q 7 U 2 V j d G l v b j E v c 3 V t Y 2 F w c 2 F s b H R h Y m x l L 1 N v d X J j Z S 5 7 U G 9 3 Z X J T d G F 0 a W 9 u L D B 9 J n F 1 b 3 Q 7 L C Z x d W 9 0 O 1 N l Y 3 R p b 2 4 x L 3 N 1 b W N h c H N h b G x 0 Y W J s Z S 9 T b 3 V y Y 2 U u e z I w M T g x O S w x f S Z x d W 9 0 O y w m c X V v d D t T Z W N 0 a W 9 u M S 9 z d W 1 j Y X B z Y W x s d G F i b G U v U 2 9 1 c m N l L n s y M D E 5 M j A s M n 0 m c X V v d D s s J n F 1 b 3 Q 7 U 2 V j d G l v b j E v c 3 V t Y 2 F w c 2 F s b H R h Y m x l L 1 N v d X J j Z S 5 7 M j A y M D I x L D N 9 J n F 1 b 3 Q 7 L C Z x d W 9 0 O 1 N l Y 3 R p b 2 4 x L 3 N 1 b W N h c H N h b G x 0 Y W J s Z S 9 T b 3 V y Y 2 U u e z I w M j E y M i w 0 f S Z x d W 9 0 O y w m c X V v d D t T Z W N 0 a W 9 u M S 9 z d W 1 j Y X B z Y W x s d G F i b G U v U 2 9 1 c m N l L n s y M D I y M j M s N X 0 m c X V v d D s s J n F 1 b 3 Q 7 U 2 V j d G l v b j E v c 3 V t Y 2 F w c 2 F s b H R h Y m x l L 1 N v d X J j Z S 5 7 M j A y M z I 0 L D Z 9 J n F 1 b 3 Q 7 L C Z x d W 9 0 O 1 N l Y 3 R p b 2 4 x L 3 N 1 b W N h c H N h b G x 0 Y W J s Z S 9 T b 3 V y Y 2 U u e z I w M j Q y N S w 3 f S Z x d W 9 0 O y w m c X V v d D t T Z W N 0 a W 9 u M S 9 z d W 1 j Y X B z Y W x s d G F i b G U v U 2 9 1 c m N l L n s y M D I 1 M j Y s O H 0 m c X V v d D s s J n F 1 b 3 Q 7 U 2 V j d G l v b j E v c 3 V t Y 2 F w c 2 F s b H R h Y m x l L 1 N v d X J j Z S 5 7 M j A y N j I 3 L D l 9 J n F 1 b 3 Q 7 L C Z x d W 9 0 O 1 N l Y 3 R p b 2 4 x L 3 N 1 b W N h c H N h b G x 0 Y W J s Z S 9 T b 3 V y Y 2 U u e z I w M j c y O C w x M H 0 m c X V v d D s s J n F 1 b 3 Q 7 U 2 V j d G l v b j E v c 3 V t Y 2 F w c 2 F s b H R h Y m x l L 1 N v d X J j Z S 5 7 R G l z c G F 0 Y 2 h U e X B l L D E x f S Z x d W 9 0 O y w m c X V v d D t T Z W N 0 a W 9 u M S 9 z d W 1 j Y X B z Y W x s d G F i b G U v U 2 9 1 c m N l L n t G d W V s V H l w Z S w x M n 0 m c X V v d D s s J n F 1 b 3 Q 7 U 2 V j d G l v b j E v c 3 V t Y 2 F w c 2 F s b H R h Y m x l L 1 N v d X J j Z S 5 7 U m V n a W 9 u L D E z f S Z x d W 9 0 O y w m c X V v d D t T Z W N 0 a W 9 u M S 9 z d W 1 j Y X B z Y W x s d G F i b G U v U 2 9 1 c m N l L n t T Z W F z b 2 4 s M T R 9 J n F 1 b 3 Q 7 X S w m c X V v d D t S Z W x h d G l v b n N o a X B J b m Z v J n F 1 b 3 Q 7 O l t d f S I g L z 4 8 L 1 N 0 Y W J s Z U V u d H J p Z X M + P C 9 J d G V t P j x J d G V t P j x J d G V t T G 9 j Y X R p b 2 4 + P E l 0 Z W 1 U e X B l P k Z v c m 1 1 b G E 8 L 0 l 0 Z W 1 U e X B l P j x J d G V t U G F 0 a D 5 T Z W N 0 a W 9 u M S 9 z d W 1 j Y X B z Y W x s d G F i b G U v U 2 9 1 c m N l P C 9 J d G V t U G F 0 a D 4 8 L 0 l 0 Z W 1 M b 2 N h d G l v b j 4 8 U 3 R h Y m x l R W 5 0 c m l l c y A v P j w v S X R l b T 4 8 S X R l b T 4 8 S X R l b U x v Y 2 F 0 a W 9 u P j x J d G V t V H l w Z T 5 G b 3 J t d W x h P C 9 J d G V t V H l w Z T 4 8 S X R l b V B h d G g + U 2 V j d G l v b j E v c 3 V t Y 2 F w c 1 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S Z W N v d m V y e V R h c m d l d F N o Z W V 0 I i B W Y W x 1 Z T 0 i c 1 N 1 b W 1 l c i B T Y 2 h l Z H V s Z W Q g Q 2 F w Y W N p d G l l c y I g L z 4 8 R W 5 0 c n k g V H l w Z T 0 i U m V j b 3 Z l c n l U Y X J n Z X R D b 2 x 1 b W 4 i I F Z h b H V l P S J s M S I g L z 4 8 R W 5 0 c n k g V H l w Z T 0 i U m V j b 3 Z l c n l U Y X J n Z X R S b 3 c i I F Z h b H V l P S J s M z M i I C 8 + P E V u d H J 5 I F R 5 c G U 9 I k 5 h b W V V c G R h d G V k Q W Z 0 Z X J G a W x s I i B W Y W x 1 Z T 0 i b D A i I C 8 + P E V u d H J 5 I F R 5 c G U 9 I k Z p b G x l Z E N v b X B s Z X R l U m V z d W x 0 V G 9 X b 3 J r c 2 h l Z X Q i I F Z h b H V l P S J s M S I g L z 4 8 R W 5 0 c n k g V H l w Z T 0 i U X V l c n l J R C I g V m F s d W U 9 I n M y N m I x M m M 0 N S 1 m Z G I 4 L T Q 5 N T E t Y m M y M y 0 3 M D c w M D I x O D U 4 N D Q i I C 8 + P E V u d H J 5 I F R 5 c G U 9 I k Z p b G x U Y X J n Z X Q i I F Z h b H V l P S J z c 3 V t Y 2 F w c 1 N 0 Y W J s Z S I g L z 4 8 R W 5 0 c n k g V H l w Z T 0 i R m l s b E x h c 3 R V c G R h d G V k I i B W Y W x 1 Z T 0 i Z D I w M T k t M D E t M T R U M D U 6 M T M 6 M z Y u N j M y M T M 2 M 1 o i I C 8 + P E V u d H J 5 I F R 5 c G U 9 I k Z p b G x F c n J v c k N v d W 5 0 I i B W Y W x 1 Z T 0 i b D A i I C 8 + P E V u d H J 5 I F R 5 c G U 9 I k Z p b G x D b 2 x 1 b W 5 U e X B l c y I g V m F s d W U 9 I n N C Z 1 V G Q l F V R k J R V U Z C U V V H Q m d Z R y I g L z 4 8 R W 5 0 c n k g V H l w Z T 0 i R m l s b E V y c m 9 y Q 2 9 k Z S I g V m F s d W U 9 I n N V b m t u b 3 d u I i A v P j x F b n R y e S B U e X B l P S J G a W x s Q 2 9 s d W 1 u T m F t Z X M i I F Z h b H V l P S J z W y Z x d W 9 0 O 1 B v d 2 V y U 3 R h d G l v b i Z x d W 9 0 O y w m c X V v d D s y M D E 4 M T k m c X V v d D s s J n F 1 b 3 Q 7 M j A x O T I w J n F 1 b 3 Q 7 L C Z x d W 9 0 O z I w M j A y M S Z x d W 9 0 O y w m c X V v d D s y M D I x M j I m c X V v d D s s J n F 1 b 3 Q 7 M j A y M j I z J n F 1 b 3 Q 7 L C Z x d W 9 0 O z I w M j M y N C Z x d W 9 0 O y w m c X V v d D s y M D I 0 M j U m c X V v d D s s J n F 1 b 3 Q 7 M j A y N T I 2 J n F 1 b 3 Q 7 L C Z x d W 9 0 O z I w M j Y y N y Z x d W 9 0 O y w m c X V v d D s y M D I 3 M j g m c X V v d D s s J n F 1 b 3 Q 7 R G l z c G F 0 Y 2 h U e X B l J n F 1 b 3 Q 7 L C Z x d W 9 0 O 0 Z 1 Z W x U e X B l J n F 1 b 3 Q 7 L C Z x d W 9 0 O 1 J l Z 2 l v b i Z x d W 9 0 O y w m c X V v d D t T Z W F z b 2 4 m c X V v d D t d I i A v P j x F b n R y e S B U e X B l P S J G a W x s Q 2 9 1 b n Q i I F Z h b H V l P S J s M j A i I C 8 + P E V u d H J 5 I F R 5 c G U 9 I k Z p b G x T d G F 0 d X M i I F Z h b H V l P S J z Q 2 9 t c G x l d G U i I C 8 + P E V u d H J 5 I F R 5 c G U 9 I k F k Z G V k V G 9 E Y X R h T W 9 k Z W w i I F Z h b H V l P S J s M C I g L z 4 8 R W 5 0 c n k g V H l w Z T 0 i U m V s Y X R p b 2 5 z a G l w S W 5 m b 0 N v b n R h a W 5 l c i I g V m F s d W U 9 I n N 7 J n F 1 b 3 Q 7 Y 2 9 s d W 1 u Q 2 9 1 b n Q m c X V v d D s 6 M T U s J n F 1 b 3 Q 7 a 2 V 5 Q 2 9 s d W 1 u T m F t Z X M m c X V v d D s 6 W 1 0 s J n F 1 b 3 Q 7 c X V l c n l S Z W x h d G l v b n N o a X B z J n F 1 b 3 Q 7 O l t d L C Z x d W 9 0 O 2 N v b H V t b k l k Z W 5 0 a X R p Z X M m c X V v d D s 6 W y Z x d W 9 0 O 1 N l Y 3 R p b 2 4 x L 3 N 1 b W N h c H N T d G F i b G U v U 2 9 1 c m N l L n t Q b 3 d l c l N 0 Y X R p b 2 4 s M H 0 m c X V v d D s s J n F 1 b 3 Q 7 U 2 V j d G l v b j E v c 3 V t Y 2 F w c 1 N 0 Y W J s Z S 9 T b 3 V y Y 2 U u e z I w M T g x O S w x f S Z x d W 9 0 O y w m c X V v d D t T Z W N 0 a W 9 u M S 9 z d W 1 j Y X B z U 3 R h Y m x l L 1 N v d X J j Z S 5 7 M j A x O T I w L D J 9 J n F 1 b 3 Q 7 L C Z x d W 9 0 O 1 N l Y 3 R p b 2 4 x L 3 N 1 b W N h c H N T d G F i b G U v U 2 9 1 c m N l L n s y M D I w M j E s M 3 0 m c X V v d D s s J n F 1 b 3 Q 7 U 2 V j d G l v b j E v c 3 V t Y 2 F w c 1 N 0 Y W J s Z S 9 T b 3 V y Y 2 U u e z I w M j E y M i w 0 f S Z x d W 9 0 O y w m c X V v d D t T Z W N 0 a W 9 u M S 9 z d W 1 j Y X B z U 3 R h Y m x l L 1 N v d X J j Z S 5 7 M j A y M j I z L D V 9 J n F 1 b 3 Q 7 L C Z x d W 9 0 O 1 N l Y 3 R p b 2 4 x L 3 N 1 b W N h c H N T d G F i b G U v U 2 9 1 c m N l L n s y M D I z M j Q s N n 0 m c X V v d D s s J n F 1 b 3 Q 7 U 2 V j d G l v b j E v c 3 V t Y 2 F w c 1 N 0 Y W J s Z S 9 T b 3 V y Y 2 U u e z I w M j Q y N S w 3 f S Z x d W 9 0 O y w m c X V v d D t T Z W N 0 a W 9 u M S 9 z d W 1 j Y X B z U 3 R h Y m x l L 1 N v d X J j Z S 5 7 M j A y N T I 2 L D h 9 J n F 1 b 3 Q 7 L C Z x d W 9 0 O 1 N l Y 3 R p b 2 4 x L 3 N 1 b W N h c H N T d G F i b G U v U 2 9 1 c m N l L n s y M D I 2 M j c s O X 0 m c X V v d D s s J n F 1 b 3 Q 7 U 2 V j d G l v b j E v c 3 V t Y 2 F w c 1 N 0 Y W J s Z S 9 T b 3 V y Y 2 U u e z I w M j c y O C w x M H 0 m c X V v d D s s J n F 1 b 3 Q 7 U 2 V j d G l v b j E v c 3 V t Y 2 F w c 1 N 0 Y W J s Z S 9 T b 3 V y Y 2 U u e 0 R p c 3 B h d G N o V H l w Z S w x M X 0 m c X V v d D s s J n F 1 b 3 Q 7 U 2 V j d G l v b j E v c 3 V t Y 2 F w c 1 N 0 Y W J s Z S 9 T b 3 V y Y 2 U u e 0 Z 1 Z W x U e X B l L D E y f S Z x d W 9 0 O y w m c X V v d D t T Z W N 0 a W 9 u M S 9 z d W 1 j Y X B z U 3 R h Y m x l L 1 N v d X J j Z S 5 7 U m V n a W 9 u L D E z f S Z x d W 9 0 O y w m c X V v d D t T Z W N 0 a W 9 u M S 9 z d W 1 j Y X B z U 3 R h Y m x l L 1 N v d X J j Z S 5 7 U 2 V h c 2 9 u L D E 0 f S Z x d W 9 0 O 1 0 s J n F 1 b 3 Q 7 Q 2 9 s d W 1 u Q 2 9 1 b n Q m c X V v d D s 6 M T U s J n F 1 b 3 Q 7 S 2 V 5 Q 2 9 s d W 1 u T m F t Z X M m c X V v d D s 6 W 1 0 s J n F 1 b 3 Q 7 Q 2 9 s d W 1 u S W R l b n R p d G l l c y Z x d W 9 0 O z p b J n F 1 b 3 Q 7 U 2 V j d G l v b j E v c 3 V t Y 2 F w c 1 N 0 Y W J s Z S 9 T b 3 V y Y 2 U u e 1 B v d 2 V y U 3 R h d G l v b i w w f S Z x d W 9 0 O y w m c X V v d D t T Z W N 0 a W 9 u M S 9 z d W 1 j Y X B z U 3 R h Y m x l L 1 N v d X J j Z S 5 7 M j A x O D E 5 L D F 9 J n F 1 b 3 Q 7 L C Z x d W 9 0 O 1 N l Y 3 R p b 2 4 x L 3 N 1 b W N h c H N T d G F i b G U v U 2 9 1 c m N l L n s y M D E 5 M j A s M n 0 m c X V v d D s s J n F 1 b 3 Q 7 U 2 V j d G l v b j E v c 3 V t Y 2 F w c 1 N 0 Y W J s Z S 9 T b 3 V y Y 2 U u e z I w M j A y M S w z f S Z x d W 9 0 O y w m c X V v d D t T Z W N 0 a W 9 u M S 9 z d W 1 j Y X B z U 3 R h Y m x l L 1 N v d X J j Z S 5 7 M j A y M T I y L D R 9 J n F 1 b 3 Q 7 L C Z x d W 9 0 O 1 N l Y 3 R p b 2 4 x L 3 N 1 b W N h c H N T d G F i b G U v U 2 9 1 c m N l L n s y M D I y M j M s N X 0 m c X V v d D s s J n F 1 b 3 Q 7 U 2 V j d G l v b j E v c 3 V t Y 2 F w c 1 N 0 Y W J s Z S 9 T b 3 V y Y 2 U u e z I w M j M y N C w 2 f S Z x d W 9 0 O y w m c X V v d D t T Z W N 0 a W 9 u M S 9 z d W 1 j Y X B z U 3 R h Y m x l L 1 N v d X J j Z S 5 7 M j A y N D I 1 L D d 9 J n F 1 b 3 Q 7 L C Z x d W 9 0 O 1 N l Y 3 R p b 2 4 x L 3 N 1 b W N h c H N T d G F i b G U v U 2 9 1 c m N l L n s y M D I 1 M j Y s O H 0 m c X V v d D s s J n F 1 b 3 Q 7 U 2 V j d G l v b j E v c 3 V t Y 2 F w c 1 N 0 Y W J s Z S 9 T b 3 V y Y 2 U u e z I w M j Y y N y w 5 f S Z x d W 9 0 O y w m c X V v d D t T Z W N 0 a W 9 u M S 9 z d W 1 j Y X B z U 3 R h Y m x l L 1 N v d X J j Z S 5 7 M j A y N z I 4 L D E w f S Z x d W 9 0 O y w m c X V v d D t T Z W N 0 a W 9 u M S 9 z d W 1 j Y X B z U 3 R h Y m x l L 1 N v d X J j Z S 5 7 R G l z c G F 0 Y 2 h U e X B l L D E x f S Z x d W 9 0 O y w m c X V v d D t T Z W N 0 a W 9 u M S 9 z d W 1 j Y X B z U 3 R h Y m x l L 1 N v d X J j Z S 5 7 R n V l b F R 5 c G U s M T J 9 J n F 1 b 3 Q 7 L C Z x d W 9 0 O 1 N l Y 3 R p b 2 4 x L 3 N 1 b W N h c H N T d G F i b G U v U 2 9 1 c m N l L n t S Z W d p b 2 4 s M T N 9 J n F 1 b 3 Q 7 L C Z x d W 9 0 O 1 N l Y 3 R p b 2 4 x L 3 N 1 b W N h c H N T d G F i b G U v U 2 9 1 c m N l L n t T Z W F z b 2 4 s M T R 9 J n F 1 b 3 Q 7 X S w m c X V v d D t S Z W x h d G l v b n N o a X B J b m Z v J n F 1 b 3 Q 7 O l t d f S I g L z 4 8 L 1 N 0 Y W J s Z U V u d H J p Z X M + P C 9 J d G V t P j x J d G V t P j x J d G V t T G 9 j Y X R p b 2 4 + P E l 0 Z W 1 U e X B l P k Z v c m 1 1 b G E 8 L 0 l 0 Z W 1 U e X B l P j x J d G V t U G F 0 a D 5 T Z W N 0 a W 9 u M S 9 z d W 1 j Y X B z U 3 R h Y m x l L 1 N v d X J j Z T w v S X R l b V B h d G g + P C 9 J d G V t T G 9 j Y X R p b 2 4 + P F N 0 Y W J s Z U V u d H J p Z X M g L z 4 8 L 0 l 0 Z W 0 + P E l 0 Z W 0 + P E l 0 Z W 1 M b 2 N h d G l v b j 4 8 S X R l b V R 5 c G U + R m 9 y b X V s Y T w v S X R l b V R 5 c G U + P E l 0 Z W 1 Q Y X R o P l N l Y 3 R p b 2 4 x L 3 N 1 b W N h c H N T U 3 R h Y m x l 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l J l c 3 V s d F R 5 c G U i I F Z h b H V l P S J z V G F i b G U i I C 8 + P E V u d H J 5 I F R 5 c G U 9 I k J 1 Z m Z l c k 5 l e H R S Z W Z y Z X N o I i B W Y W x 1 Z T 0 i b D E i I C 8 + P E V u d H J 5 I F R 5 c G U 9 I l J l Y 2 9 2 Z X J 5 V G F y Z 2 V 0 U 2 h l Z X Q i I F Z h b H V l P S J z U 3 V t b W V y I F N j a G V k d W x l Z C B D Y X B h Y 2 l 0 a W V z I i A v P j x F b n R y e S B U e X B l P S J S Z W N v d m V y e V R h c m d l d E N v b H V t b i I g V m F s d W U 9 I m w x I i A v P j x F b n R y e S B U e X B l P S J S Z W N v d m V y e V R h c m d l d F J v d y I g V m F s d W U 9 I m w 1 O S I g L z 4 8 R W 5 0 c n k g V H l w Z T 0 i T m F t Z V V w Z G F 0 Z W R B Z n R l c k Z p b G w i I F Z h b H V l P S J s M C I g L z 4 8 R W 5 0 c n k g V H l w Z T 0 i R m l s b G V k Q 2 9 t c G x l d G V S Z X N 1 b H R U b 1 d v c m t z a G V l d C I g V m F s d W U 9 I m w x I i A v P j x F b n R y e S B U e X B l P S J R d W V y e U l E I i B W Y W x 1 Z T 0 i c z k 4 M W Q y N G N l L T V j M T A t N D Y w N i 0 5 M 2 E 3 L T A 0 Y T k y O G E 0 M z F m N S I g L z 4 8 R W 5 0 c n k g V H l w Z T 0 i R m l s b F R h c m d l d C I g V m F s d W U 9 I n N z d W 1 j Y X B z U 1 N 0 Y W J s Z S I g L z 4 8 R W 5 0 c n k g V H l w Z T 0 i R m l s b E x h c 3 R V c G R h d G V k I i B W Y W x 1 Z T 0 i Z D I w M T k t M D E t M T R U M D U 6 M T M 6 M z I u M T Q w N z I w M V o i I C 8 + P E V u d H J 5 I F R 5 c G U 9 I k Z p b G x F c n J v c k N v d W 5 0 I i B W Y W x 1 Z T 0 i b D A i I C 8 + P E V u d H J 5 I F R 5 c G U 9 I k Z p b G x D b 2 x 1 b W 5 U e X B l c y I g V m F s d W U 9 I n N C Z 1 V G Q l F V R k J R V U Z C U V V H Q m d Z R y I g L z 4 8 R W 5 0 c n k g V H l w Z T 0 i R m l s b E V y c m 9 y Q 2 9 k Z S I g V m F s d W U 9 I n N V b m t u b 3 d u I i A v P j x F b n R y e S B U e X B l P S J G a W x s Q 2 9 s d W 1 u T m F t Z X M i I F Z h b H V l P S J z W y Z x d W 9 0 O 1 B v d 2 V y U 3 R h d G l v b i Z x d W 9 0 O y w m c X V v d D s y M D E 4 M T k m c X V v d D s s J n F 1 b 3 Q 7 M j A x O T I w J n F 1 b 3 Q 7 L C Z x d W 9 0 O z I w M j A y M S Z x d W 9 0 O y w m c X V v d D s y M D I x M j I m c X V v d D s s J n F 1 b 3 Q 7 M j A y M j I z J n F 1 b 3 Q 7 L C Z x d W 9 0 O z I w M j M y N C Z x d W 9 0 O y w m c X V v d D s y M D I 0 M j U m c X V v d D s s J n F 1 b 3 Q 7 M j A y N T I 2 J n F 1 b 3 Q 7 L C Z x d W 9 0 O z I w M j Y y N y Z x d W 9 0 O y w m c X V v d D s y M D I 3 M j g m c X V v d D s s J n F 1 b 3 Q 7 R G l z c G F 0 Y 2 h U e X B l J n F 1 b 3 Q 7 L C Z x d W 9 0 O 0 Z 1 Z W x U e X B l J n F 1 b 3 Q 7 L C Z x d W 9 0 O 1 J l Z 2 l v b i Z x d W 9 0 O y w m c X V v d D t T Z W F z b 2 4 m c X V v d D t d I i A v P j x F b n R y e S B U e X B l P S J G a W x s Q 2 9 1 b n Q i I F Z h b H V l P S J s M 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c 3 V t Y 2 F w c 1 N T d G F i b G U v U 2 9 1 c m N l L n t Q b 3 d l c l N 0 Y X R p b 2 4 s M H 0 m c X V v d D s s J n F 1 b 3 Q 7 U 2 V j d G l v b j E v c 3 V t Y 2 F w c 1 N T d G F i b G U v U 2 9 1 c m N l L n s y M D E 4 M T k s M X 0 m c X V v d D s s J n F 1 b 3 Q 7 U 2 V j d G l v b j E v c 3 V t Y 2 F w c 1 N T d G F i b G U v U 2 9 1 c m N l L n s y M D E 5 M j A s M n 0 m c X V v d D s s J n F 1 b 3 Q 7 U 2 V j d G l v b j E v c 3 V t Y 2 F w c 1 N T d G F i b G U v U 2 9 1 c m N l L n s y M D I w M j E s M 3 0 m c X V v d D s s J n F 1 b 3 Q 7 U 2 V j d G l v b j E v c 3 V t Y 2 F w c 1 N T d G F i b G U v U 2 9 1 c m N l L n s y M D I x M j I s N H 0 m c X V v d D s s J n F 1 b 3 Q 7 U 2 V j d G l v b j E v c 3 V t Y 2 F w c 1 N T d G F i b G U v U 2 9 1 c m N l L n s y M D I y M j M s N X 0 m c X V v d D s s J n F 1 b 3 Q 7 U 2 V j d G l v b j E v c 3 V t Y 2 F w c 1 N T d G F i b G U v U 2 9 1 c m N l L n s y M D I z M j Q s N n 0 m c X V v d D s s J n F 1 b 3 Q 7 U 2 V j d G l v b j E v c 3 V t Y 2 F w c 1 N T d G F i b G U v U 2 9 1 c m N l L n s y M D I 0 M j U s N 3 0 m c X V v d D s s J n F 1 b 3 Q 7 U 2 V j d G l v b j E v c 3 V t Y 2 F w c 1 N T d G F i b G U v U 2 9 1 c m N l L n s y M D I 1 M j Y s O H 0 m c X V v d D s s J n F 1 b 3 Q 7 U 2 V j d G l v b j E v c 3 V t Y 2 F w c 1 N T d G F i b G U v U 2 9 1 c m N l L n s y M D I 2 M j c s O X 0 m c X V v d D s s J n F 1 b 3 Q 7 U 2 V j d G l v b j E v c 3 V t Y 2 F w c 1 N T d G F i b G U v U 2 9 1 c m N l L n s y M D I 3 M j g s M T B 9 J n F 1 b 3 Q 7 L C Z x d W 9 0 O 1 N l Y 3 R p b 2 4 x L 3 N 1 b W N h c H N T U 3 R h Y m x l L 1 N v d X J j Z S 5 7 R G l z c G F 0 Y 2 h U e X B l L D E x f S Z x d W 9 0 O y w m c X V v d D t T Z W N 0 a W 9 u M S 9 z d W 1 j Y X B z U 1 N 0 Y W J s Z S 9 T b 3 V y Y 2 U u e 0 Z 1 Z W x U e X B l L D E y f S Z x d W 9 0 O y w m c X V v d D t T Z W N 0 a W 9 u M S 9 z d W 1 j Y X B z U 1 N 0 Y W J s Z S 9 T b 3 V y Y 2 U u e 1 J l Z 2 l v b i w x M 3 0 m c X V v d D s s J n F 1 b 3 Q 7 U 2 V j d G l v b j E v c 3 V t Y 2 F w c 1 N T d G F i b G U v U 2 9 1 c m N l L n t T Z W F z b 2 4 s M T R 9 J n F 1 b 3 Q 7 X S w m c X V v d D t D b 2 x 1 b W 5 D b 3 V u d C Z x d W 9 0 O z o x N S w m c X V v d D t L Z X l D b 2 x 1 b W 5 O Y W 1 l c y Z x d W 9 0 O z p b X S w m c X V v d D t D b 2 x 1 b W 5 J Z G V u d G l 0 a W V z J n F 1 b 3 Q 7 O l s m c X V v d D t T Z W N 0 a W 9 u M S 9 z d W 1 j Y X B z U 1 N 0 Y W J s Z S 9 T b 3 V y Y 2 U u e 1 B v d 2 V y U 3 R h d G l v b i w w f S Z x d W 9 0 O y w m c X V v d D t T Z W N 0 a W 9 u M S 9 z d W 1 j Y X B z U 1 N 0 Y W J s Z S 9 T b 3 V y Y 2 U u e z I w M T g x O S w x f S Z x d W 9 0 O y w m c X V v d D t T Z W N 0 a W 9 u M S 9 z d W 1 j Y X B z U 1 N 0 Y W J s Z S 9 T b 3 V y Y 2 U u e z I w M T k y M C w y f S Z x d W 9 0 O y w m c X V v d D t T Z W N 0 a W 9 u M S 9 z d W 1 j Y X B z U 1 N 0 Y W J s Z S 9 T b 3 V y Y 2 U u e z I w M j A y M S w z f S Z x d W 9 0 O y w m c X V v d D t T Z W N 0 a W 9 u M S 9 z d W 1 j Y X B z U 1 N 0 Y W J s Z S 9 T b 3 V y Y 2 U u e z I w M j E y M i w 0 f S Z x d W 9 0 O y w m c X V v d D t T Z W N 0 a W 9 u M S 9 z d W 1 j Y X B z U 1 N 0 Y W J s Z S 9 T b 3 V y Y 2 U u e z I w M j I y M y w 1 f S Z x d W 9 0 O y w m c X V v d D t T Z W N 0 a W 9 u M S 9 z d W 1 j Y X B z U 1 N 0 Y W J s Z S 9 T b 3 V y Y 2 U u e z I w M j M y N C w 2 f S Z x d W 9 0 O y w m c X V v d D t T Z W N 0 a W 9 u M S 9 z d W 1 j Y X B z U 1 N 0 Y W J s Z S 9 T b 3 V y Y 2 U u e z I w M j Q y N S w 3 f S Z x d W 9 0 O y w m c X V v d D t T Z W N 0 a W 9 u M S 9 z d W 1 j Y X B z U 1 N 0 Y W J s Z S 9 T b 3 V y Y 2 U u e z I w M j U y N i w 4 f S Z x d W 9 0 O y w m c X V v d D t T Z W N 0 a W 9 u M S 9 z d W 1 j Y X B z U 1 N 0 Y W J s Z S 9 T b 3 V y Y 2 U u e z I w M j Y y N y w 5 f S Z x d W 9 0 O y w m c X V v d D t T Z W N 0 a W 9 u M S 9 z d W 1 j Y X B z U 1 N 0 Y W J s Z S 9 T b 3 V y Y 2 U u e z I w M j c y O C w x M H 0 m c X V v d D s s J n F 1 b 3 Q 7 U 2 V j d G l v b j E v c 3 V t Y 2 F w c 1 N T d G F i b G U v U 2 9 1 c m N l L n t E a X N w Y X R j a F R 5 c G U s M T F 9 J n F 1 b 3 Q 7 L C Z x d W 9 0 O 1 N l Y 3 R p b 2 4 x L 3 N 1 b W N h c H N T U 3 R h Y m x l L 1 N v d X J j Z S 5 7 R n V l b F R 5 c G U s M T J 9 J n F 1 b 3 Q 7 L C Z x d W 9 0 O 1 N l Y 3 R p b 2 4 x L 3 N 1 b W N h c H N T U 3 R h Y m x l L 1 N v d X J j Z S 5 7 U m V n a W 9 u L D E z f S Z x d W 9 0 O y w m c X V v d D t T Z W N 0 a W 9 u M S 9 z d W 1 j Y X B z U 1 N 0 Y W J s Z S 9 T b 3 V y Y 2 U u e 1 N l Y X N v b i w x N H 0 m c X V v d D t d L C Z x d W 9 0 O 1 J l b G F 0 a W 9 u c 2 h p c E l u Z m 8 m c X V v d D s 6 W 1 1 9 I i A v P j w v U 3 R h Y m x l R W 5 0 c m l l c z 4 8 L 0 l 0 Z W 0 + P E l 0 Z W 0 + P E l 0 Z W 1 M b 2 N h d G l v b j 4 8 S X R l b V R 5 c G U + R m 9 y b X V s Y T w v S X R l b V R 5 c G U + P E l 0 Z W 1 Q Y X R o P l N l Y 3 R p b 2 4 x L 3 N 1 b W N h c H N T U 3 R h Y m x l L 1 N v d X J j Z T w v S X R l b V B h d G g + P C 9 J d G V t T G 9 j Y X R p b 2 4 + P F N 0 Y W J s Z U V u d H J p Z X M g L z 4 8 L 0 l 0 Z W 0 + P E l 0 Z W 0 + P E l 0 Z W 1 M b 2 N h d G l v b j 4 8 S X R l b V R 5 c G U + R m 9 y b X V s Y T w v S X R l b V R 5 c G U + P E l 0 Z W 1 Q Y X R o P l N l Y 3 R p b 2 4 x L 3 d p b m N h c H N h b G x 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S Z W N v d m V y e V R h c m d l d F N o Z W V 0 I i B W Y W x 1 Z T 0 i c 1 d p b n R l c i B T Y 2 h l Z H V s Z W Q g Q 2 F w Y W N p d G l l c y I g L z 4 8 R W 5 0 c n k g V H l w Z T 0 i U m V j b 3 Z l c n l U Y X J n Z X R D b 2 x 1 b W 4 i I F Z h b H V l P S J s M S I g L z 4 8 R W 5 0 c n k g V H l w Z T 0 i U m V j b 3 Z l c n l U Y X J n Z X R S b 3 c i I F Z h b H V l P S J s M i I g L z 4 8 R W 5 0 c n k g V H l w Z T 0 i T m F t Z V V w Z G F 0 Z W R B Z n R l c k Z p b G w i I F Z h b H V l P S J s M C I g L z 4 8 R W 5 0 c n k g V H l w Z T 0 i R m l s b G V k Q 2 9 t c G x l d G V S Z X N 1 b H R U b 1 d v c m t z a G V l d C I g V m F s d W U 9 I m w x I i A v P j x F b n R y e S B U e X B l P S J R d W V y e U l E I i B W Y W x 1 Z T 0 i c 2 U 2 Z W R m O D J m L W Z k N W U t N D h h M i 1 i N W M y L T U x N j Q x Z D g z N z I 1 O S I g L z 4 8 R W 5 0 c n k g V H l w Z T 0 i R m l s b F R h c m d l d C I g V m F s d W U 9 I n N 3 a W 5 j Y X B z Y W x s d G F i b G U i I C 8 + P E V u d H J 5 I F R 5 c G U 9 I k Z p b G x M Y X N 0 V X B k Y X R l Z C I g V m F s d W U 9 I m Q y M D E 5 L T A x L T E 0 V D A 1 O j E z O j M y L j I y N D I y M T J 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y M y 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Q 2 9 s d W 1 u Q 2 9 1 b n Q m c X V v d D s 6 M T U s J n F 1 b 3 Q 7 S 2 V 5 Q 2 9 s d W 1 u T m F t Z X M m c X V v d D s 6 W 1 0 s J n F 1 b 3 Q 7 Q 2 9 s d W 1 u S W R l b n R p d G l l c y Z x d W 9 0 O z p b J n F 1 b 3 Q 7 U 2 V j d G l v b j E v d 2 l u Y 2 F w c 2 F s b H R h Y m x l L 1 N v d X J j Z S 5 7 U G 9 3 Z X J T d G F 0 a W 9 u L D B 9 J n F 1 b 3 Q 7 L C Z x d W 9 0 O 1 N l Y 3 R p b 2 4 x L 3 d p b m N h c H N h b G x 0 Y W J s Z S 9 T b 3 V y Y 2 U u e z I w M T k s M X 0 m c X V v d D s s J n F 1 b 3 Q 7 U 2 V j d G l v b j E v d 2 l u Y 2 F w c 2 F s b H R h Y m x l L 1 N v d X J j Z S 5 7 M j A y M C w y f S Z x d W 9 0 O y w m c X V v d D t T Z W N 0 a W 9 u M S 9 3 a W 5 j Y X B z Y W x s d G F i b G U v U 2 9 1 c m N l L n s y M D I x L D N 9 J n F 1 b 3 Q 7 L C Z x d W 9 0 O 1 N l Y 3 R p b 2 4 x L 3 d p b m N h c H N h b G x 0 Y W J s Z S 9 T b 3 V y Y 2 U u e z I w M j I s N H 0 m c X V v d D s s J n F 1 b 3 Q 7 U 2 V j d G l v b j E v d 2 l u Y 2 F w c 2 F s b H R h Y m x l L 1 N v d X J j Z S 5 7 M j A y M y w 1 f S Z x d W 9 0 O y w m c X V v d D t T Z W N 0 a W 9 u M S 9 3 a W 5 j Y X B z Y W x s d G F i b G U v U 2 9 1 c m N l L n s y M D I 0 L D Z 9 J n F 1 b 3 Q 7 L C Z x d W 9 0 O 1 N l Y 3 R p b 2 4 x L 3 d p b m N h c H N h b G x 0 Y W J s Z S 9 T b 3 V y Y 2 U u e z I w M j U s N 3 0 m c X V v d D s s J n F 1 b 3 Q 7 U 2 V j d G l v b j E v d 2 l u Y 2 F w c 2 F s b H R h Y m x l L 1 N v d X J j Z S 5 7 M j A y N i w 4 f S Z x d W 9 0 O y w m c X V v d D t T Z W N 0 a W 9 u M S 9 3 a W 5 j Y X B z Y W x s d G F i b G U v U 2 9 1 c m N l L n s y M D I 3 L D l 9 J n F 1 b 3 Q 7 L C Z x d W 9 0 O 1 N l Y 3 R p b 2 4 x L 3 d p b m N h c H N h b G x 0 Y W J s Z S 9 T b 3 V y Y 2 U u e z I w M j g s M T B 9 J n F 1 b 3 Q 7 L C Z x d W 9 0 O 1 N l Y 3 R p b 2 4 x L 3 d p b m N h c H N h b G x 0 Y W J s Z S 9 T b 3 V y Y 2 U u e 0 R p c 3 B h d G N o V H l w Z S w x M X 0 m c X V v d D s s J n F 1 b 3 Q 7 U 2 V j d G l v b j E v d 2 l u Y 2 F w c 2 F s b H R h Y m x l L 1 N v d X J j Z S 5 7 R n V l b F R 5 c G U s M T J 9 J n F 1 b 3 Q 7 L C Z x d W 9 0 O 1 N l Y 3 R p b 2 4 x L 3 d p b m N h c H N h b G x 0 Y W J s Z S 9 T b 3 V y Y 2 U u e 1 J l Z 2 l v b i w x M 3 0 m c X V v d D s s J n F 1 b 3 Q 7 U 2 V j d G l v b j E v d 2 l u Y 2 F w c 2 F s b H R h Y m x l L 1 N v d X J j Z S 5 7 U 2 V h c 2 9 u L D E 0 f S Z x d W 9 0 O 1 0 s J n F 1 b 3 Q 7 U m V s Y X R p b 2 5 z a G l w S W 5 m b y Z x d W 9 0 O z p b X X 0 i I C 8 + P C 9 T d G F i b G V F b n R y a W V z P j w v S X R l b T 4 8 S X R l b T 4 8 S X R l b U x v Y 2 F 0 a W 9 u P j x J d G V t V H l w Z T 5 G b 3 J t d W x h P C 9 J d G V t V H l w Z T 4 8 S X R l b V B h d G g + U 2 V j d G l v b j E v d 2 l u Y 2 F w c 2 F s b H R h Y m x l L 1 N v d X J j Z T w v S X R l b V B h d G g + P C 9 J d G V t T G 9 j Y X R p b 2 4 + P F N 0 Y W J s Z U V u d H J p Z X M g L z 4 8 L 0 l 0 Z W 0 + P E l 0 Z W 0 + P E l 0 Z W 1 M b 2 N h d G l v b j 4 8 S X R l b V R 5 c G U + R m 9 y b X V s Y T w v S X R l b V R 5 c G U + P E l 0 Z W 1 Q Y X R o P l N l Y 3 R p b 2 4 x L 3 d p b m N h c H N T d G F i b G U 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U m V z d W x 0 V H l w Z S I g V m F s d W U 9 I n N U Y W J s Z S I g L z 4 8 R W 5 0 c n k g V H l w Z T 0 i Q n V m Z m V y T m V 4 d F J l Z n J l c 2 g i I F Z h b H V l P S J s M S I g L z 4 8 R W 5 0 c n k g V H l w Z T 0 i U m V j b 3 Z l c n l U Y X J n Z X R T a G V l d C I g V m F s d W U 9 I n N X a W 5 0 Z X I g U 2 N o Z W R 1 b G V k I E N h c G F j a X R p Z X M i I C 8 + P E V u d H J 5 I F R 5 c G U 9 I l J l Y 2 9 2 Z X J 5 V G F y Z 2 V 0 Q 2 9 s d W 1 u I i B W Y W x 1 Z T 0 i b D E i I C 8 + P E V u d H J 5 I F R 5 c G U 9 I l J l Y 2 9 2 Z X J 5 V G F y Z 2 V 0 U m 9 3 I i B W Y W x 1 Z T 0 i b D M z I i A v P j x F b n R y e S B U e X B l P S J O Y W 1 l V X B k Y X R l Z E F m d G V y R m l s b C I g V m F s d W U 9 I m w w I i A v P j x F b n R y e S B U e X B l P S J G a W x s Z W R D b 2 1 w b G V 0 Z V J l c 3 V s d F R v V 2 9 y a 3 N o Z W V 0 I i B W Y W x 1 Z T 0 i b D E i I C 8 + P E V u d H J 5 I F R 5 c G U 9 I l F 1 Z X J 5 S U Q i I F Z h b H V l P S J z N j Z h M T E x M z Q t Y z g 0 N S 0 0 N G F k L T g 1 M z Y t N m M w Z j M 5 Y W Q x N T M 0 I i A v P j x F b n R y e S B U e X B l P S J G a W x s V G F y Z 2 V 0 I i B W Y W x 1 Z T 0 i c 3 d p b m N h c H N T d G F i b G U i I C 8 + P E V u d H J 5 I F R 5 c G U 9 I k Z p b G x M Y X N 0 V X B k Y X R l Z C I g V m F s d W U 9 I m Q y M D E 5 L T A x L T E 0 V D A 1 O j E z O j M 2 L j Y 1 M D E z N D d 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y M C I g L z 4 8 R W 5 0 c n k g V H l w Z T 0 i R m l s b F N 0 Y X R 1 c y I g V m F s d W U 9 I n N D b 2 1 w b G V 0 Z S I g L z 4 8 R W 5 0 c n k g V H l w Z T 0 i Q W R k Z W R U b 0 R h d G F N b 2 R l b C I g V m F s d W U 9 I m w w I i A v P j x F b n R y e S B U e X B l P S J S Z W x h d G l v b n N o a X B J b m Z v Q 2 9 u d G F p b m V y I i B W Y W x 1 Z T 0 i c 3 s m c X V v d D t j b 2 x 1 b W 5 D b 3 V u d C Z x d W 9 0 O z o x N S w m c X V v d D t r Z X l D b 2 x 1 b W 5 O Y W 1 l c y Z x d W 9 0 O z p b X S w m c X V v d D t x d W V y e V J l b G F 0 a W 9 u c 2 h p c H M m c X V v d D s 6 W 1 0 s J n F 1 b 3 Q 7 Y 2 9 s d W 1 u S W R l b n R p d G l l c y Z x d W 9 0 O z p b J n F 1 b 3 Q 7 U 2 V j d G l v b j E v d 2 l u Y 2 F w c 1 N 0 Y W J s Z S 9 T b 3 V y Y 2 U u e 1 B v d 2 V y U 3 R h d G l v b i w w f S Z x d W 9 0 O y w m c X V v d D t T Z W N 0 a W 9 u M S 9 3 a W 5 j Y X B z U 3 R h Y m x l L 1 N v d X J j Z S 5 7 M j A x O S w x f S Z x d W 9 0 O y w m c X V v d D t T Z W N 0 a W 9 u M S 9 3 a W 5 j Y X B z U 3 R h Y m x l L 1 N v d X J j Z S 5 7 M j A y M C w y f S Z x d W 9 0 O y w m c X V v d D t T Z W N 0 a W 9 u M S 9 3 a W 5 j Y X B z U 3 R h Y m x l L 1 N v d X J j Z S 5 7 M j A y M S w z f S Z x d W 9 0 O y w m c X V v d D t T Z W N 0 a W 9 u M S 9 3 a W 5 j Y X B z U 3 R h Y m x l L 1 N v d X J j Z S 5 7 M j A y M i w 0 f S Z x d W 9 0 O y w m c X V v d D t T Z W N 0 a W 9 u M S 9 3 a W 5 j Y X B z U 3 R h Y m x l L 1 N v d X J j Z S 5 7 M j A y M y w 1 f S Z x d W 9 0 O y w m c X V v d D t T Z W N 0 a W 9 u M S 9 3 a W 5 j Y X B z U 3 R h Y m x l L 1 N v d X J j Z S 5 7 M j A y N C w 2 f S Z x d W 9 0 O y w m c X V v d D t T Z W N 0 a W 9 u M S 9 3 a W 5 j Y X B z U 3 R h Y m x l L 1 N v d X J j Z S 5 7 M j A y N S w 3 f S Z x d W 9 0 O y w m c X V v d D t T Z W N 0 a W 9 u M S 9 3 a W 5 j Y X B z U 3 R h Y m x l L 1 N v d X J j Z S 5 7 M j A y N i w 4 f S Z x d W 9 0 O y w m c X V v d D t T Z W N 0 a W 9 u M S 9 3 a W 5 j Y X B z U 3 R h Y m x l L 1 N v d X J j Z S 5 7 M j A y N y w 5 f S Z x d W 9 0 O y w m c X V v d D t T Z W N 0 a W 9 u M S 9 3 a W 5 j Y X B z U 3 R h Y m x l L 1 N v d X J j Z S 5 7 M j A y O C w x M H 0 m c X V v d D s s J n F 1 b 3 Q 7 U 2 V j d G l v b j E v d 2 l u Y 2 F w c 1 N 0 Y W J s Z S 9 T b 3 V y Y 2 U u e 0 R p c 3 B h d G N o V H l w Z S w x M X 0 m c X V v d D s s J n F 1 b 3 Q 7 U 2 V j d G l v b j E v d 2 l u Y 2 F w c 1 N 0 Y W J s Z S 9 T b 3 V y Y 2 U u e 0 Z 1 Z W x U e X B l L D E y f S Z x d W 9 0 O y w m c X V v d D t T Z W N 0 a W 9 u M S 9 3 a W 5 j Y X B z U 3 R h Y m x l L 1 N v d X J j Z S 5 7 U m V n a W 9 u L D E z f S Z x d W 9 0 O y w m c X V v d D t T Z W N 0 a W 9 u M S 9 3 a W 5 j Y X B z U 3 R h Y m x l L 1 N v d X J j Z S 5 7 U 2 V h c 2 9 u L D E 0 f S Z x d W 9 0 O 1 0 s J n F 1 b 3 Q 7 Q 2 9 s d W 1 u Q 2 9 1 b n Q m c X V v d D s 6 M T U s J n F 1 b 3 Q 7 S 2 V 5 Q 2 9 s d W 1 u T m F t Z X M m c X V v d D s 6 W 1 0 s J n F 1 b 3 Q 7 Q 2 9 s d W 1 u S W R l b n R p d G l l c y Z x d W 9 0 O z p b J n F 1 b 3 Q 7 U 2 V j d G l v b j E v d 2 l u Y 2 F w c 1 N 0 Y W J s Z S 9 T b 3 V y Y 2 U u e 1 B v d 2 V y U 3 R h d G l v b i w w f S Z x d W 9 0 O y w m c X V v d D t T Z W N 0 a W 9 u M S 9 3 a W 5 j Y X B z U 3 R h Y m x l L 1 N v d X J j Z S 5 7 M j A x O S w x f S Z x d W 9 0 O y w m c X V v d D t T Z W N 0 a W 9 u M S 9 3 a W 5 j Y X B z U 3 R h Y m x l L 1 N v d X J j Z S 5 7 M j A y M C w y f S Z x d W 9 0 O y w m c X V v d D t T Z W N 0 a W 9 u M S 9 3 a W 5 j Y X B z U 3 R h Y m x l L 1 N v d X J j Z S 5 7 M j A y M S w z f S Z x d W 9 0 O y w m c X V v d D t T Z W N 0 a W 9 u M S 9 3 a W 5 j Y X B z U 3 R h Y m x l L 1 N v d X J j Z S 5 7 M j A y M i w 0 f S Z x d W 9 0 O y w m c X V v d D t T Z W N 0 a W 9 u M S 9 3 a W 5 j Y X B z U 3 R h Y m x l L 1 N v d X J j Z S 5 7 M j A y M y w 1 f S Z x d W 9 0 O y w m c X V v d D t T Z W N 0 a W 9 u M S 9 3 a W 5 j Y X B z U 3 R h Y m x l L 1 N v d X J j Z S 5 7 M j A y N C w 2 f S Z x d W 9 0 O y w m c X V v d D t T Z W N 0 a W 9 u M S 9 3 a W 5 j Y X B z U 3 R h Y m x l L 1 N v d X J j Z S 5 7 M j A y N S w 3 f S Z x d W 9 0 O y w m c X V v d D t T Z W N 0 a W 9 u M S 9 3 a W 5 j Y X B z U 3 R h Y m x l L 1 N v d X J j Z S 5 7 M j A y N i w 4 f S Z x d W 9 0 O y w m c X V v d D t T Z W N 0 a W 9 u M S 9 3 a W 5 j Y X B z U 3 R h Y m x l L 1 N v d X J j Z S 5 7 M j A y N y w 5 f S Z x d W 9 0 O y w m c X V v d D t T Z W N 0 a W 9 u M S 9 3 a W 5 j Y X B z U 3 R h Y m x l L 1 N v d X J j Z S 5 7 M j A y O C w x M H 0 m c X V v d D s s J n F 1 b 3 Q 7 U 2 V j d G l v b j E v d 2 l u Y 2 F w c 1 N 0 Y W J s Z S 9 T b 3 V y Y 2 U u e 0 R p c 3 B h d G N o V H l w Z S w x M X 0 m c X V v d D s s J n F 1 b 3 Q 7 U 2 V j d G l v b j E v d 2 l u Y 2 F w c 1 N 0 Y W J s Z S 9 T b 3 V y Y 2 U u e 0 Z 1 Z W x U e X B l L D E y f S Z x d W 9 0 O y w m c X V v d D t T Z W N 0 a W 9 u M S 9 3 a W 5 j Y X B z U 3 R h Y m x l L 1 N v d X J j Z S 5 7 U m V n a W 9 u L D E z f S Z x d W 9 0 O y w m c X V v d D t T Z W N 0 a W 9 u M S 9 3 a W 5 j Y X B z U 3 R h Y m x l L 1 N v d X J j Z S 5 7 U 2 V h c 2 9 u L D E 0 f S Z x d W 9 0 O 1 0 s J n F 1 b 3 Q 7 U m V s Y X R p b 2 5 z a G l w S W 5 m b y Z x d W 9 0 O z p b X X 0 i I C 8 + P C 9 T d G F i b G V F b n R y a W V z P j w v S X R l b T 4 8 S X R l b T 4 8 S X R l b U x v Y 2 F 0 a W 9 u P j x J d G V t V H l w Z T 5 G b 3 J t d W x h P C 9 J d G V t V H l w Z T 4 8 S X R l b V B h d G g + U 2 V j d G l v b j E v d 2 l u Y 2 F w c 1 N 0 Y W J s Z S 9 T b 3 V y Y 2 U 8 L 0 l 0 Z W 1 Q Y X R o P j w v S X R l b U x v Y 2 F 0 a W 9 u P j x T d G F i b G V F b n R y a W V z I C 8 + P C 9 J d G V t P j x J d G V t P j x J d G V t T G 9 j Y X R p b 2 4 + P E l 0 Z W 1 U e X B l P k Z v c m 1 1 b G E 8 L 0 l 0 Z W 1 U e X B l P j x J d G V t U G F 0 a D 5 T Z W N 0 a W 9 u M S 9 3 a W 5 j Y X B z U 1 N 0 Y W J s Z T 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C d W Z m Z X J O Z X h 0 U m V m c m V z a C I g V m F s d W U 9 I m w x I i A v P j x F b n R y e S B U e X B l P S J S Z W N v d m V y e V R h c m d l d F N o Z W V 0 I i B W Y W x 1 Z T 0 i c 1 d p b n R l c i B T Y 2 h l Z H V s Z W Q g Q 2 F w Y W N p d G l l c y I g L z 4 8 R W 5 0 c n k g V H l w Z T 0 i U m V j b 3 Z l c n l U Y X J n Z X R D b 2 x 1 b W 4 i I F Z h b H V l P S J s M S I g L z 4 8 R W 5 0 c n k g V H l w Z T 0 i U m V j b 3 Z l c n l U Y X J n Z X R S b 3 c i I F Z h b H V l P S J s N T k i I C 8 + P E V u d H J 5 I F R 5 c G U 9 I k 5 h b W V V c G R h d G V k Q W Z 0 Z X J G a W x s I i B W Y W x 1 Z T 0 i b D A i I C 8 + P E V u d H J 5 I F R 5 c G U 9 I k Z p b G x l Z E N v b X B s Z X R l U m V z d W x 0 V G 9 X b 3 J r c 2 h l Z X Q i I F Z h b H V l P S J s M S I g L z 4 8 R W 5 0 c n k g V H l w Z T 0 i U X V l c n l J R C I g V m F s d W U 9 I n M 1 Y z M 4 N z I z O C 0 1 N D I 2 L T R l Z j g t Y j A 2 Z C 1 l M j c 0 Y z c 3 Y T J m M z U i I C 8 + P E V u d H J 5 I F R 5 c G U 9 I k Z p b G x U Y X J n Z X Q i I F Z h b H V l P S J z d 2 l u Y 2 F w c 1 N T d G F i b G U i I C 8 + P E V u d H J 5 I F R 5 c G U 9 I k Z p b G x M Y X N 0 V X B k Y X R l Z C I g V m F s d W U 9 I m Q y M D E 5 L T A x L T E 0 V D A 1 O j E z O j M 2 L j U 1 N j E z N D R a I i A v P j x F b n R y e S B U e X B l P S J G a W x s R X J y b 3 J D b 3 V u d C I g V m F s d W U 9 I m w w I i A v P j x F b n R y e S B U e X B l P S J G a W x s Q 2 9 s d W 1 u V H l w Z X M i I F Z h b H V l P S J z Q m d V R k J R V U Z C U V V G Q l F V R 0 J n W U c i I C 8 + P E V u d H J 5 I F R 5 c G U 9 I k Z p b G x F c n J v c k N v Z G U i I F Z h b H V l P S J z V W 5 r b m 9 3 b i I g L z 4 8 R W 5 0 c n k g V H l w Z T 0 i R m l s b E N v b H V t b k 5 h b W V z I i B W Y W x 1 Z T 0 i c 1 s m c X V v d D t Q b 3 d l c l N 0 Y X R p b 2 4 m c X V v d D s s J n F 1 b 3 Q 7 M j A x O S Z x d W 9 0 O y w m c X V v d D s y M D I w J n F 1 b 3 Q 7 L C Z x d W 9 0 O z I w M j E m c X V v d D s s J n F 1 b 3 Q 7 M j A y M i Z x d W 9 0 O y w m c X V v d D s y M D I z J n F 1 b 3 Q 7 L C Z x d W 9 0 O z I w M j Q m c X V v d D s s J n F 1 b 3 Q 7 M j A y N S Z x d W 9 0 O y w m c X V v d D s y M D I 2 J n F 1 b 3 Q 7 L C Z x d W 9 0 O z I w M j c m c X V v d D s s J n F 1 b 3 Q 7 M j A y O C Z x d W 9 0 O y w m c X V v d D t E a X N w Y X R j a F R 5 c G U m c X V v d D s s J n F 1 b 3 Q 7 R n V l b F R 5 c G U m c X V v d D s s J n F 1 b 3 Q 7 U m V n a W 9 u J n F 1 b 3 Q 7 L C Z x d W 9 0 O 1 N l Y X N v b i Z x d W 9 0 O 1 0 i I C 8 + P E V u d H J 5 I F R 5 c G U 9 I k Z p b G x D b 3 V u d C I g V m F s d W U 9 I m w z I i A v P j x F b n R y e S B U e X B l P S J G a W x s U 3 R h d H V z I i B W Y W x 1 Z T 0 i c 0 N v b X B s Z X R l I i A v P j x F b n R y e S B U e X B l P S J B Z G R l Z F R v R G F 0 Y U 1 v Z G V s I i B W Y W x 1 Z T 0 i b D A i I C 8 + P E V u d H J 5 I F R 5 c G U 9 I l J l b G F 0 a W 9 u c 2 h p c E l u Z m 9 D b 2 5 0 Y W l u Z X I i I F Z h b H V l P S J z e y Z x d W 9 0 O 2 N v b H V t b k N v d W 5 0 J n F 1 b 3 Q 7 O j E 1 L C Z x d W 9 0 O 2 t l e U N v b H V t b k 5 h b W V z J n F 1 b 3 Q 7 O l t d L C Z x d W 9 0 O 3 F 1 Z X J 5 U m V s Y X R p b 2 5 z a G l w c y Z x d W 9 0 O z p b X S w m c X V v d D t j b 2 x 1 b W 5 J Z G V u d G l 0 a W V z J n F 1 b 3 Q 7 O l s m c X V v d D t T Z W N 0 a W 9 u M S 9 3 a W 5 j Y X B z U 1 N 0 Y W J s Z S 9 T b 3 V y Y 2 U u e 1 B v d 2 V y U 3 R h d G l v b i w w f S Z x d W 9 0 O y w m c X V v d D t T Z W N 0 a W 9 u M S 9 3 a W 5 j Y X B z U 1 N 0 Y W J s Z S 9 T b 3 V y Y 2 U u e z I w M T k s M X 0 m c X V v d D s s J n F 1 b 3 Q 7 U 2 V j d G l v b j E v d 2 l u Y 2 F w c 1 N T d G F i b G U v U 2 9 1 c m N l L n s y M D I w L D J 9 J n F 1 b 3 Q 7 L C Z x d W 9 0 O 1 N l Y 3 R p b 2 4 x L 3 d p b m N h c H N T U 3 R h Y m x l L 1 N v d X J j Z S 5 7 M j A y M S w z f S Z x d W 9 0 O y w m c X V v d D t T Z W N 0 a W 9 u M S 9 3 a W 5 j Y X B z U 1 N 0 Y W J s Z S 9 T b 3 V y Y 2 U u e z I w M j I s N H 0 m c X V v d D s s J n F 1 b 3 Q 7 U 2 V j d G l v b j E v d 2 l u Y 2 F w c 1 N T d G F i b G U v U 2 9 1 c m N l L n s y M D I z L D V 9 J n F 1 b 3 Q 7 L C Z x d W 9 0 O 1 N l Y 3 R p b 2 4 x L 3 d p b m N h c H N T U 3 R h Y m x l L 1 N v d X J j Z S 5 7 M j A y N C w 2 f S Z x d W 9 0 O y w m c X V v d D t T Z W N 0 a W 9 u M S 9 3 a W 5 j Y X B z U 1 N 0 Y W J s Z S 9 T b 3 V y Y 2 U u e z I w M j U s N 3 0 m c X V v d D s s J n F 1 b 3 Q 7 U 2 V j d G l v b j E v d 2 l u Y 2 F w c 1 N T d G F i b G U v U 2 9 1 c m N l L n s y M D I 2 L D h 9 J n F 1 b 3 Q 7 L C Z x d W 9 0 O 1 N l Y 3 R p b 2 4 x L 3 d p b m N h c H N T U 3 R h Y m x l L 1 N v d X J j Z S 5 7 M j A y N y w 5 f S Z x d W 9 0 O y w m c X V v d D t T Z W N 0 a W 9 u M S 9 3 a W 5 j Y X B z U 1 N 0 Y W J s Z S 9 T b 3 V y Y 2 U u e z I w M j g s M T B 9 J n F 1 b 3 Q 7 L C Z x d W 9 0 O 1 N l Y 3 R p b 2 4 x L 3 d p b m N h c H N T U 3 R h Y m x l L 1 N v d X J j Z S 5 7 R G l z c G F 0 Y 2 h U e X B l L D E x f S Z x d W 9 0 O y w m c X V v d D t T Z W N 0 a W 9 u M S 9 3 a W 5 j Y X B z U 1 N 0 Y W J s Z S 9 T b 3 V y Y 2 U u e 0 Z 1 Z W x U e X B l L D E y f S Z x d W 9 0 O y w m c X V v d D t T Z W N 0 a W 9 u M S 9 3 a W 5 j Y X B z U 1 N 0 Y W J s Z S 9 T b 3 V y Y 2 U u e 1 J l Z 2 l v b i w x M 3 0 m c X V v d D s s J n F 1 b 3 Q 7 U 2 V j d G l v b j E v d 2 l u Y 2 F w c 1 N T d G F i b G U v U 2 9 1 c m N l L n t T Z W F z b 2 4 s M T R 9 J n F 1 b 3 Q 7 X S w m c X V v d D t D b 2 x 1 b W 5 D b 3 V u d C Z x d W 9 0 O z o x N S w m c X V v d D t L Z X l D b 2 x 1 b W 5 O Y W 1 l c y Z x d W 9 0 O z p b X S w m c X V v d D t D b 2 x 1 b W 5 J Z G V u d G l 0 a W V z J n F 1 b 3 Q 7 O l s m c X V v d D t T Z W N 0 a W 9 u M S 9 3 a W 5 j Y X B z U 1 N 0 Y W J s Z S 9 T b 3 V y Y 2 U u e 1 B v d 2 V y U 3 R h d G l v b i w w f S Z x d W 9 0 O y w m c X V v d D t T Z W N 0 a W 9 u M S 9 3 a W 5 j Y X B z U 1 N 0 Y W J s Z S 9 T b 3 V y Y 2 U u e z I w M T k s M X 0 m c X V v d D s s J n F 1 b 3 Q 7 U 2 V j d G l v b j E v d 2 l u Y 2 F w c 1 N T d G F i b G U v U 2 9 1 c m N l L n s y M D I w L D J 9 J n F 1 b 3 Q 7 L C Z x d W 9 0 O 1 N l Y 3 R p b 2 4 x L 3 d p b m N h c H N T U 3 R h Y m x l L 1 N v d X J j Z S 5 7 M j A y M S w z f S Z x d W 9 0 O y w m c X V v d D t T Z W N 0 a W 9 u M S 9 3 a W 5 j Y X B z U 1 N 0 Y W J s Z S 9 T b 3 V y Y 2 U u e z I w M j I s N H 0 m c X V v d D s s J n F 1 b 3 Q 7 U 2 V j d G l v b j E v d 2 l u Y 2 F w c 1 N T d G F i b G U v U 2 9 1 c m N l L n s y M D I z L D V 9 J n F 1 b 3 Q 7 L C Z x d W 9 0 O 1 N l Y 3 R p b 2 4 x L 3 d p b m N h c H N T U 3 R h Y m x l L 1 N v d X J j Z S 5 7 M j A y N C w 2 f S Z x d W 9 0 O y w m c X V v d D t T Z W N 0 a W 9 u M S 9 3 a W 5 j Y X B z U 1 N 0 Y W J s Z S 9 T b 3 V y Y 2 U u e z I w M j U s N 3 0 m c X V v d D s s J n F 1 b 3 Q 7 U 2 V j d G l v b j E v d 2 l u Y 2 F w c 1 N T d G F i b G U v U 2 9 1 c m N l L n s y M D I 2 L D h 9 J n F 1 b 3 Q 7 L C Z x d W 9 0 O 1 N l Y 3 R p b 2 4 x L 3 d p b m N h c H N T U 3 R h Y m x l L 1 N v d X J j Z S 5 7 M j A y N y w 5 f S Z x d W 9 0 O y w m c X V v d D t T Z W N 0 a W 9 u M S 9 3 a W 5 j Y X B z U 1 N 0 Y W J s Z S 9 T b 3 V y Y 2 U u e z I w M j g s M T B 9 J n F 1 b 3 Q 7 L C Z x d W 9 0 O 1 N l Y 3 R p b 2 4 x L 3 d p b m N h c H N T U 3 R h Y m x l L 1 N v d X J j Z S 5 7 R G l z c G F 0 Y 2 h U e X B l L D E x f S Z x d W 9 0 O y w m c X V v d D t T Z W N 0 a W 9 u M S 9 3 a W 5 j Y X B z U 1 N 0 Y W J s Z S 9 T b 3 V y Y 2 U u e 0 Z 1 Z W x U e X B l L D E y f S Z x d W 9 0 O y w m c X V v d D t T Z W N 0 a W 9 u M S 9 3 a W 5 j Y X B z U 1 N 0 Y W J s Z S 9 T b 3 V y Y 2 U u e 1 J l Z 2 l v b i w x M 3 0 m c X V v d D s s J n F 1 b 3 Q 7 U 2 V j d G l v b j E v d 2 l u Y 2 F w c 1 N T d G F i b G U v U 2 9 1 c m N l L n t T Z W F z b 2 4 s M T R 9 J n F 1 b 3 Q 7 X S w m c X V v d D t S Z W x h d G l v b n N o a X B J b m Z v J n F 1 b 3 Q 7 O l t d f S I g L z 4 8 L 1 N 0 Y W J s Z U V u d H J p Z X M + P C 9 J d G V t P j x J d G V t P j x J d G V t T G 9 j Y X R p b 2 4 + P E l 0 Z W 1 U e X B l P k Z v c m 1 1 b G E 8 L 0 l 0 Z W 1 U e X B l P j x J d G V t U G F 0 a D 5 T Z W N 0 a W 9 u M S 9 3 a W 5 j Y X B z U 1 N 0 Y W J s Z S 9 T b 3 V y Y 2 U 8 L 0 l 0 Z W 1 Q Y X R o P j w v S X R l b U x v Y 2 F 0 a W 9 u P j x T d G F i b G V F b n R y a W V z I C 8 + P C 9 J d G V t P j w v S X R l b X M + P C 9 M b 2 N h b F B h Y 2 t h Z 2 V N Z X R h Z G F 0 Y U Z p b G U + F g A A A F B L B Q Y A A A A A A A A A A A A A A A A A A A A A A A D a A A A A A Q A A A N C M n d 8 B F d E R j H o A w E / C l + s B A A A A Z O J 5 E L g 0 h E 6 e z t g O b k 2 T 9 w A A A A A C A A A A A A A D Z g A A w A A A A B A A A A D Z s y r 4 / L u J v q g m i u S p d N 3 H A A A A A A S A A A C g A A A A E A A A A C W r w / L 4 3 i + X i + A h 2 N 4 m N K J Q A A A A 6 9 U B I m G 4 V V j U W O a O T 1 m n w s o 7 J J S W A 1 8 P A m x I k o M O U 0 j G y V 2 9 a M 9 R x d i Q v q h l q 4 i f B n w A a M L D I 3 O d q 1 t x M L 8 m M O W I u X e B j D B z b o / x c f v w L 7 Y U A A A A L v u t n o a n Z Q x H m f v D Z r l U C M D h d 7 s = < / D a t a M a s h u p > 
</file>

<file path=customXml/item5.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NETWORKDEV-2134468847-14504</_dlc_DocId>
    <_dlc_DocIdUrl xmlns="a14523ce-dede-483e-883a-2d83261080bd">
      <Url>http://sharedocs/sites/nd/BusinessAsUsual/_layouts/15/DocIdRedir.aspx?ID=NETWORKDEV-2134468847-14504</Url>
      <Description>NETWORKDEV-2134468847-14504</Description>
    </_dlc_DocIdUrl>
  </documentManagement>
</p:properties>
</file>

<file path=customXml/itemProps1.xml><?xml version="1.0" encoding="utf-8"?>
<ds:datastoreItem xmlns:ds="http://schemas.openxmlformats.org/officeDocument/2006/customXml" ds:itemID="{223097C7-534B-4401-A03D-EEF339021B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80214A-2822-4B1D-81B5-8C90E1B8A08A}">
  <ds:schemaRefs>
    <ds:schemaRef ds:uri="http://schemas.microsoft.com/sharepoint/events"/>
  </ds:schemaRefs>
</ds:datastoreItem>
</file>

<file path=customXml/itemProps3.xml><?xml version="1.0" encoding="utf-8"?>
<ds:datastoreItem xmlns:ds="http://schemas.openxmlformats.org/officeDocument/2006/customXml" ds:itemID="{5C747C43-1FFD-4F92-B4C9-2A9396C61DC0}">
  <ds:schemaRefs>
    <ds:schemaRef ds:uri="http://schemas.microsoft.com/sharepoint/v3/contenttype/forms"/>
  </ds:schemaRefs>
</ds:datastoreItem>
</file>

<file path=customXml/itemProps4.xml><?xml version="1.0" encoding="utf-8"?>
<ds:datastoreItem xmlns:ds="http://schemas.openxmlformats.org/officeDocument/2006/customXml" ds:itemID="{B28FFD1F-6038-4BE9-9F4A-4EBB2538F8AC}">
  <ds:schemaRefs>
    <ds:schemaRef ds:uri="http://schemas.microsoft.com/DataMashup"/>
  </ds:schemaRefs>
</ds:datastoreItem>
</file>

<file path=customXml/itemProps5.xml><?xml version="1.0" encoding="utf-8"?>
<ds:datastoreItem xmlns:ds="http://schemas.openxmlformats.org/officeDocument/2006/customXml" ds:itemID="{438E7642-1B8F-4CCA-9853-06E36FCAB5E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14523ce-dede-483e-883a-2d83261080bd"/>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Tasmania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Generation_Information_TAS_autogen_CONFIDENTIAL.xlsx</dc:creator>
  <cp:lastModifiedBy>Chang Liu</cp:lastModifiedBy>
  <dcterms:created xsi:type="dcterms:W3CDTF">2014-03-07T16:08:25Z</dcterms:created>
  <dcterms:modified xsi:type="dcterms:W3CDTF">2019-01-21T00:46:16Z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763fba00-d042-41c5-b3ec-0cc7b1e431aa</vt:lpwstr>
  </property>
  <property fmtid="{D5CDD505-2E9C-101B-9397-08002B2CF9AE}" pid="6" name="AEMODocumentType">
    <vt:lpwstr>3;#Operational Record|859762f2-4462-42eb-9744-c955c7e2c540</vt:lpwstr>
  </property>
</Properties>
</file>