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MO\Development and Capacity\04. System Capacity\Reserve Capacity Mechanism\Maximum Reserve Capacity Price\2015\Draft Report\Working\"/>
    </mc:Choice>
  </mc:AlternateContent>
  <bookViews>
    <workbookView xWindow="-105" yWindow="90" windowWidth="15315" windowHeight="13260" tabRatio="770"/>
  </bookViews>
  <sheets>
    <sheet name="README" sheetId="15" r:id="rId1"/>
    <sheet name="M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52511"/>
</workbook>
</file>

<file path=xl/calcChain.xml><?xml version="1.0" encoding="utf-8"?>
<calcChain xmlns="http://schemas.openxmlformats.org/spreadsheetml/2006/main">
  <c r="C6" i="4" l="1"/>
  <c r="B16" i="1" l="1"/>
  <c r="M87" i="2"/>
  <c r="D6" i="4"/>
  <c r="C113" i="2"/>
  <c r="B9" i="3"/>
  <c r="E6" i="9"/>
  <c r="E7" i="9"/>
  <c r="E8" i="9"/>
  <c r="E9" i="9"/>
  <c r="E10" i="9"/>
  <c r="E11" i="9"/>
  <c r="E5" i="9"/>
  <c r="H87" i="2"/>
  <c r="M53" i="2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C12" i="5"/>
  <c r="B13" i="5"/>
  <c r="C13" i="5"/>
  <c r="B14" i="5"/>
  <c r="C14" i="5"/>
  <c r="D4" i="4"/>
  <c r="D5" i="4"/>
  <c r="D7" i="4"/>
  <c r="D8" i="4"/>
  <c r="D9" i="4"/>
  <c r="D10" i="4"/>
  <c r="D11" i="4"/>
  <c r="D12" i="4"/>
  <c r="D13" i="4"/>
  <c r="D14" i="4"/>
  <c r="D15" i="4"/>
  <c r="D18" i="2"/>
  <c r="E18" i="2" s="1"/>
  <c r="F18" i="2" s="1"/>
  <c r="G18" i="2" s="1"/>
  <c r="H18" i="2" s="1"/>
  <c r="C19" i="2"/>
  <c r="D19" i="2" s="1"/>
  <c r="M19" i="2"/>
  <c r="B29" i="2"/>
  <c r="C29" i="2"/>
  <c r="B30" i="2"/>
  <c r="C30" i="2"/>
  <c r="B31" i="2"/>
  <c r="C31" i="2"/>
  <c r="B32" i="2"/>
  <c r="C32" i="2"/>
  <c r="D51" i="2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 s="1"/>
  <c r="F52" i="2" s="1"/>
  <c r="G52" i="2" s="1"/>
  <c r="H52" i="2" s="1"/>
  <c r="C53" i="2"/>
  <c r="D53" i="2" s="1"/>
  <c r="B63" i="2"/>
  <c r="C63" i="2"/>
  <c r="B64" i="2"/>
  <c r="C64" i="2"/>
  <c r="B65" i="2"/>
  <c r="C65" i="2"/>
  <c r="B66" i="2"/>
  <c r="C66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 s="1"/>
  <c r="F86" i="2" s="1"/>
  <c r="G86" i="2" s="1"/>
  <c r="H86" i="2" s="1"/>
  <c r="I86" i="2" s="1"/>
  <c r="J86" i="2" s="1"/>
  <c r="K86" i="2" s="1"/>
  <c r="L86" i="2" s="1"/>
  <c r="M86" i="2" s="1"/>
  <c r="N86" i="2" s="1"/>
  <c r="O86" i="2" s="1"/>
  <c r="P86" i="2" s="1"/>
  <c r="Q86" i="2" s="1"/>
  <c r="C87" i="2"/>
  <c r="D87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B18" i="4" l="1"/>
  <c r="C16" i="5"/>
  <c r="B3" i="3" s="1"/>
  <c r="E12" i="9"/>
  <c r="B29" i="9" s="1"/>
  <c r="B30" i="9" s="1"/>
  <c r="B31" i="9" s="1"/>
  <c r="B32" i="9" s="1"/>
  <c r="C115" i="2"/>
  <c r="B17" i="4"/>
  <c r="B20" i="4" s="1"/>
  <c r="B21" i="4" s="1"/>
  <c r="H54" i="2"/>
  <c r="I52" i="2"/>
  <c r="J52" i="2" s="1"/>
  <c r="K52" i="2" s="1"/>
  <c r="L52" i="2" s="1"/>
  <c r="M52" i="2" s="1"/>
  <c r="N52" i="2" s="1"/>
  <c r="O52" i="2" s="1"/>
  <c r="P52" i="2" s="1"/>
  <c r="Q52" i="2" s="1"/>
  <c r="I18" i="2"/>
  <c r="J18" i="2" s="1"/>
  <c r="K18" i="2" s="1"/>
  <c r="L18" i="2" s="1"/>
  <c r="M18" i="2" s="1"/>
  <c r="N18" i="2" s="1"/>
  <c r="O18" i="2" s="1"/>
  <c r="P18" i="2" s="1"/>
  <c r="Q18" i="2" s="1"/>
  <c r="H20" i="2"/>
  <c r="J19" i="2"/>
  <c r="K19" i="2" s="1"/>
  <c r="K20" i="2" s="1"/>
  <c r="C136" i="2"/>
  <c r="C146" i="2" s="1"/>
  <c r="H88" i="2"/>
  <c r="E87" i="2"/>
  <c r="D88" i="2"/>
  <c r="N87" i="2"/>
  <c r="M88" i="2"/>
  <c r="I87" i="2"/>
  <c r="C88" i="2"/>
  <c r="E53" i="2"/>
  <c r="D54" i="2"/>
  <c r="I54" i="2"/>
  <c r="J53" i="2"/>
  <c r="C54" i="2"/>
  <c r="N53" i="2"/>
  <c r="E19" i="2"/>
  <c r="D20" i="2"/>
  <c r="J20" i="2"/>
  <c r="N19" i="2"/>
  <c r="C20" i="2"/>
  <c r="C18" i="8"/>
  <c r="B15" i="3" s="1"/>
  <c r="E22" i="9" l="1"/>
  <c r="B18" i="3" s="1"/>
  <c r="L19" i="2"/>
  <c r="L20" i="2" s="1"/>
  <c r="M54" i="2"/>
  <c r="I20" i="2"/>
  <c r="M20" i="2"/>
  <c r="B106" i="2"/>
  <c r="C21" i="2"/>
  <c r="D21" i="2" s="1"/>
  <c r="B26" i="3"/>
  <c r="B21" i="3"/>
  <c r="C89" i="2"/>
  <c r="D89" i="2" s="1"/>
  <c r="B107" i="2"/>
  <c r="C55" i="2"/>
  <c r="D55" i="2" s="1"/>
  <c r="N88" i="2"/>
  <c r="O87" i="2"/>
  <c r="I88" i="2"/>
  <c r="J87" i="2"/>
  <c r="E88" i="2"/>
  <c r="F87" i="2"/>
  <c r="N54" i="2"/>
  <c r="O53" i="2"/>
  <c r="K53" i="2"/>
  <c r="J54" i="2"/>
  <c r="E54" i="2"/>
  <c r="F53" i="2"/>
  <c r="E20" i="2"/>
  <c r="F19" i="2"/>
  <c r="O19" i="2"/>
  <c r="N20" i="2"/>
  <c r="B24" i="3" l="1"/>
  <c r="B28" i="3" s="1"/>
  <c r="B13" i="1" s="1"/>
  <c r="C90" i="2"/>
  <c r="C111" i="2"/>
  <c r="C116" i="2" s="1"/>
  <c r="C127" i="2" s="1"/>
  <c r="C56" i="2"/>
  <c r="C22" i="2"/>
  <c r="G87" i="2"/>
  <c r="G88" i="2" s="1"/>
  <c r="F88" i="2"/>
  <c r="P87" i="2"/>
  <c r="O88" i="2"/>
  <c r="K87" i="2"/>
  <c r="J88" i="2"/>
  <c r="F54" i="2"/>
  <c r="G53" i="2"/>
  <c r="G54" i="2" s="1"/>
  <c r="P53" i="2"/>
  <c r="O54" i="2"/>
  <c r="L53" i="2"/>
  <c r="L54" i="2" s="1"/>
  <c r="K54" i="2"/>
  <c r="F20" i="2"/>
  <c r="G19" i="2"/>
  <c r="G20" i="2" s="1"/>
  <c r="P19" i="2"/>
  <c r="O20" i="2"/>
  <c r="D56" i="2"/>
  <c r="E55" i="2"/>
  <c r="D22" i="2"/>
  <c r="E21" i="2"/>
  <c r="D90" i="2"/>
  <c r="E89" i="2"/>
  <c r="Q87" i="2" l="1"/>
  <c r="Q88" i="2" s="1"/>
  <c r="P88" i="2"/>
  <c r="K88" i="2"/>
  <c r="L87" i="2"/>
  <c r="L88" i="2" s="1"/>
  <c r="P54" i="2"/>
  <c r="Q53" i="2"/>
  <c r="Q54" i="2" s="1"/>
  <c r="Q19" i="2"/>
  <c r="Q20" i="2" s="1"/>
  <c r="P20" i="2"/>
  <c r="F55" i="2"/>
  <c r="E56" i="2"/>
  <c r="F89" i="2"/>
  <c r="E90" i="2"/>
  <c r="E22" i="2"/>
  <c r="F21" i="2"/>
  <c r="G55" i="2" l="1"/>
  <c r="F56" i="2"/>
  <c r="F22" i="2"/>
  <c r="G21" i="2"/>
  <c r="G89" i="2"/>
  <c r="F90" i="2"/>
  <c r="H89" i="2" l="1"/>
  <c r="G90" i="2"/>
  <c r="H55" i="2"/>
  <c r="G56" i="2"/>
  <c r="H21" i="2"/>
  <c r="G22" i="2"/>
  <c r="I21" i="2" l="1"/>
  <c r="H22" i="2"/>
  <c r="H90" i="2"/>
  <c r="I89" i="2"/>
  <c r="H56" i="2"/>
  <c r="I55" i="2"/>
  <c r="J55" i="2" l="1"/>
  <c r="I56" i="2"/>
  <c r="I22" i="2"/>
  <c r="J21" i="2"/>
  <c r="I90" i="2"/>
  <c r="J89" i="2"/>
  <c r="J56" i="2" l="1"/>
  <c r="K55" i="2"/>
  <c r="K89" i="2"/>
  <c r="J90" i="2"/>
  <c r="K21" i="2"/>
  <c r="J22" i="2"/>
  <c r="L55" i="2" l="1"/>
  <c r="K56" i="2"/>
  <c r="K90" i="2"/>
  <c r="L89" i="2"/>
  <c r="L21" i="2"/>
  <c r="K22" i="2"/>
  <c r="L22" i="2" l="1"/>
  <c r="M21" i="2"/>
  <c r="M55" i="2"/>
  <c r="L56" i="2"/>
  <c r="L90" i="2"/>
  <c r="M89" i="2"/>
  <c r="M22" i="2" l="1"/>
  <c r="N21" i="2"/>
  <c r="M56" i="2"/>
  <c r="N55" i="2"/>
  <c r="M90" i="2"/>
  <c r="N89" i="2"/>
  <c r="O89" i="2" l="1"/>
  <c r="N90" i="2"/>
  <c r="N22" i="2"/>
  <c r="O21" i="2"/>
  <c r="N56" i="2"/>
  <c r="O55" i="2"/>
  <c r="O90" i="2" l="1"/>
  <c r="P89" i="2"/>
  <c r="P55" i="2"/>
  <c r="O56" i="2"/>
  <c r="P21" i="2"/>
  <c r="O22" i="2"/>
  <c r="Q21" i="2" l="1"/>
  <c r="Q22" i="2" s="1"/>
  <c r="P22" i="2"/>
  <c r="P90" i="2"/>
  <c r="Q89" i="2"/>
  <c r="Q90" i="2" s="1"/>
  <c r="Q55" i="2"/>
  <c r="Q56" i="2" s="1"/>
  <c r="P56" i="2"/>
  <c r="C23" i="2" l="1"/>
  <c r="C24" i="2" s="1"/>
  <c r="C34" i="2" s="1"/>
  <c r="C57" i="2"/>
  <c r="C58" i="2" s="1"/>
  <c r="C68" i="2" s="1"/>
  <c r="C91" i="2"/>
  <c r="C92" i="2" s="1"/>
  <c r="C102" i="2" s="1"/>
  <c r="C149" i="2" l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 shape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Neetika Kapani</author>
  </authors>
  <commentList>
    <comment ref="B108" authorId="0" shapeId="0">
      <text>
        <r>
          <rPr>
            <sz val="9"/>
            <color indexed="81"/>
            <rFont val="Tahoma"/>
            <family val="2"/>
          </rPr>
          <t xml:space="preserve">Asset replacement insurance percentage as at 30 June 2015
</t>
        </r>
      </text>
    </comment>
    <comment ref="B114" authorId="0" shapeId="0">
      <text>
        <r>
          <rPr>
            <sz val="9"/>
            <color indexed="81"/>
            <rFont val="Tahoma"/>
            <family val="2"/>
          </rPr>
          <t>As at 30 June 2015.
Calculated as Premium + 10% stamp duty + 10% GST</t>
        </r>
      </text>
    </comment>
    <comment ref="B115" authorId="0" shapeId="0">
      <text>
        <r>
          <rPr>
            <sz val="9"/>
            <color indexed="81"/>
            <rFont val="Tahoma"/>
            <family val="2"/>
          </rPr>
          <t>As at 30 June 2015</t>
        </r>
      </text>
    </comment>
    <comment ref="B133" authorId="0" shapeId="0">
      <text>
        <r>
          <rPr>
            <sz val="9"/>
            <color indexed="81"/>
            <rFont val="Tahoma"/>
            <family val="2"/>
          </rPr>
          <t>WP price list 2015-16 section 6.3.3 Control system services Table 16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>WP price list 2015-16 metering prices table 18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  <author>Ross Stottelaar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<sst xmlns="http://schemas.openxmlformats.org/spreadsheetml/2006/main" count="282" uniqueCount="169">
  <si>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</si>
  <si>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MAXIMUM RESERVE CAPACITY PRICE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</si>
  <si>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</si>
  <si>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</si>
  <si>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</si>
  <si>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</si>
  <si>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</si>
  <si>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</si>
  <si>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</si>
  <si>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</si>
  <si>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</si>
  <si>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</si>
  <si>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</si>
  <si>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</si>
  <si>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</si>
  <si>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</si>
  <si>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</si>
  <si>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</si>
  <si>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</si>
  <si>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</si>
  <si>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</si>
  <si>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</si>
  <si>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</si>
  <si>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</si>
  <si>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</si>
  <si>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</si>
  <si>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</si>
  <si>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</si>
  <si>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</si>
  <si>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</si>
  <si>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</si>
  <si>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</si>
  <si>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</si>
  <si>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</si>
  <si>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</si>
  <si>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</si>
  <si>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</si>
  <si>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</si>
  <si>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</si>
  <si>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</si>
  <si>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</si>
  <si>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</si>
  <si>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</si>
  <si>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</si>
  <si>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</si>
  <si>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</si>
  <si>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</si>
  <si>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</si>
  <si>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</si>
  <si>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</si>
  <si>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</si>
  <si>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</si>
  <si>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</si>
  <si>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</si>
  <si>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</si>
  <si>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</si>
  <si>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</si>
  <si>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</si>
  <si>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</si>
  <si>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</si>
  <si>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</si>
  <si>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</si>
  <si>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</si>
  <si>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</si>
  <si>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</si>
  <si>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</si>
  <si>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</si>
  <si>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</si>
  <si>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</si>
  <si>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</si>
  <si>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</si>
  <si>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</si>
  <si>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</si>
  <si>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</si>
  <si>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</si>
  <si>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</si>
  <si>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</si>
  <si>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</si>
  <si>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</si>
  <si>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This spreadsheet performs the calculation of the Maximum Reserve Capacity Price (MRCP). It has been published to improve the transparency of the MRCP determination for Market Participants.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</si>
  <si>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</si>
  <si>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</si>
  <si>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</si>
  <si>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</si>
  <si>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 xml:space="preserve">  * The MRCP_Calculation sheet displays the final MRCP equation and the various input values.</t>
  </si>
  <si>
    <t>The following worksheets perform or display the calculations that lead to the MRCP:</t>
  </si>
  <si>
    <t>Power_Station_Capital</t>
  </si>
  <si>
    <t>MRCP</t>
  </si>
  <si>
    <t xml:space="preserve">The Maximum Reserve Capacity Price to apply in a reserve Capacity Auction 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</si>
  <si>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</si>
  <si>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</si>
  <si>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</si>
  <si>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</si>
  <si>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</si>
  <si>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</si>
  <si>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</si>
  <si>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MRCP =(ANNUALISED_FIXED_O&amp;M + ANNUALISED_CAP_COST / CC)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</si>
  <si>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</si>
  <si>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</si>
  <si>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</si>
  <si>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</si>
  <si>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</si>
  <si>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</si>
  <si>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</si>
  <si>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</si>
  <si>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</si>
  <si>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</si>
  <si>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</si>
  <si>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</si>
  <si>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</si>
  <si>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</si>
  <si>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</si>
  <si>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</si>
  <si>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</si>
  <si>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</si>
  <si>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</si>
  <si>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</si>
  <si>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</si>
  <si>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</si>
  <si>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</si>
  <si>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</si>
  <si>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</si>
  <si>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</si>
  <si>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</si>
  <si>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</si>
  <si>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</si>
  <si>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</si>
  <si>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</si>
  <si>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</si>
  <si>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</si>
  <si>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</si>
  <si>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</si>
  <si>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</si>
  <si>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</si>
  <si>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</si>
  <si>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</si>
  <si>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</si>
  <si>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</si>
  <si>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</si>
  <si>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</si>
  <si>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</si>
  <si>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</si>
  <si>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 xml:space="preserve">  * The WACC sheet calculates the Weighted Average Cost of Capital from the DRP provided by Pricewaterhouse Coopers (PwC) and other WACC parameters calculated by the IMO.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</si>
  <si>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</si>
  <si>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</si>
  <si>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</si>
  <si>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</si>
  <si>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</si>
  <si>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</si>
  <si>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</si>
  <si>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</si>
  <si>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</si>
  <si>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Estimated MRCP</t>
  </si>
  <si>
    <t>Actual MRCP</t>
  </si>
  <si>
    <t>Chk if Same to nearest $100?</t>
  </si>
  <si>
    <t>Total cost of Power Stn build</t>
  </si>
  <si>
    <t>IMO Calculation Spreadsheet for Maximum Reserve Capacity Price</t>
  </si>
  <si>
    <t>Annual insurance site survey</t>
  </si>
  <si>
    <t>ITEM A - Sub total for facility installation</t>
  </si>
  <si>
    <t>Total easement cost as at 30 June 2015</t>
  </si>
  <si>
    <t>Stamp duty calculator:</t>
  </si>
  <si>
    <t>Total easement cost as at 30 June 2016</t>
  </si>
  <si>
    <t>JACOBS Total EPC Cost ($)</t>
  </si>
  <si>
    <t>Draft report for 2018-19</t>
  </si>
  <si>
    <t xml:space="preserve">  * The ANNUALISED_FIXED_O&amp;M sheet calculates the annualised fixed O&amp;M cost from the costs provided by Jacobs, Western Power and the IMO.</t>
  </si>
  <si>
    <t xml:space="preserve">  * The PC sheet calculates the annualised power station capital cost from the costs provided by Jacobs.</t>
  </si>
  <si>
    <t xml:space="preserve">  * The M sheet contains the margin M for legal, financing and approval costs as provided by Jacobs.</t>
  </si>
  <si>
    <t xml:space="preserve">  * The FFC sheet calculates the fixed fuel cost from the costs provided by Jacobs.</t>
  </si>
  <si>
    <t xml:space="preserve">  * The ESCALATION_FACTORS sheet contains the various cost escalation factors provided by Jacobs and Western Power.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</si>
</sst>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10" fontId="0" fillId="0" borderId="12" xfId="0" applyNumberFormat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15" fontId="2" fillId="10" borderId="18" xfId="2" applyNumberFormat="1" applyFont="1" applyFill="1" applyBorder="1" applyProtection="1"/>
    <xf numFmtId="15" fontId="2" fillId="10" borderId="19" xfId="2" applyNumberFormat="1" applyFont="1" applyFill="1" applyBorder="1" applyProtection="1"/>
    <xf numFmtId="15" fontId="2" fillId="10" borderId="20" xfId="2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0" fontId="0" fillId="11" borderId="2" xfId="0" applyFill="1" applyBorder="1" applyProtection="1">
      <protection locked="0"/>
    </xf>
    <xf numFmtId="10" fontId="0" fillId="11" borderId="1" xfId="0" applyNumberFormat="1" applyFill="1" applyBorder="1" applyProtection="1">
      <protection locked="0"/>
    </xf>
    <xf numFmtId="0" fontId="0" fillId="11" borderId="1" xfId="0" applyFill="1" applyBorder="1" applyProtection="1">
      <protection locked="0"/>
    </xf>
    <xf numFmtId="164" fontId="0" fillId="11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10" fontId="1" fillId="11" borderId="22" xfId="0" applyNumberFormat="1" applyFont="1" applyFill="1" applyBorder="1" applyAlignment="1" applyProtection="1">
      <alignment vertical="center"/>
      <protection locked="0"/>
    </xf>
    <xf numFmtId="10" fontId="1" fillId="11" borderId="23" xfId="0" applyNumberFormat="1" applyFont="1" applyFill="1" applyBorder="1" applyAlignment="1" applyProtection="1">
      <alignment vertical="center"/>
      <protection locked="0"/>
    </xf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9"/>
  <sheetViews>
    <sheetView tabSelected="1" workbookViewId="0">
      <selection activeCell="A24" sqref="A24"/>
    </sheetView>
  </sheetViews>
  <sheetFormatPr defaultRowHeight="12.75" x14ac:dyDescent="0.2"/>
  <cols>
    <col min="1" max="1" width="162.42578125" customWidth="1"/>
  </cols>
  <sheetData>
    <row r="1" spans="1:1" ht="15.75" x14ac:dyDescent="0.25">
      <c r="A1" s="5" t="s">
        <v>156</v>
      </c>
    </row>
    <row r="2" spans="1:1" ht="15" x14ac:dyDescent="0.25">
      <c r="A2" s="118" t="s">
        <v>163</v>
      </c>
    </row>
    <row r="4" spans="1:1" x14ac:dyDescent="0.2">
      <c r="A4" s="1" t="s">
        <v>79</v>
      </c>
    </row>
    <row r="6" spans="1:1" x14ac:dyDescent="0.2">
      <c r="A6" s="1" t="s">
        <v>80</v>
      </c>
    </row>
    <row r="7" spans="1:1" x14ac:dyDescent="0.2">
      <c r="A7" s="1" t="s">
        <v>81</v>
      </c>
    </row>
    <row r="9" spans="1:1" x14ac:dyDescent="0.2">
      <c r="A9" s="1" t="s">
        <v>82</v>
      </c>
    </row>
    <row r="10" spans="1:1" x14ac:dyDescent="0.2">
      <c r="A10" s="140" t="s">
        <v>164</v>
      </c>
    </row>
    <row r="11" spans="1:1" x14ac:dyDescent="0.2">
      <c r="A11" s="140" t="s">
        <v>142</v>
      </c>
    </row>
    <row r="12" spans="1:1" x14ac:dyDescent="0.2">
      <c r="A12" s="140" t="s">
        <v>165</v>
      </c>
    </row>
    <row r="13" spans="1:1" x14ac:dyDescent="0.2">
      <c r="A13" s="140" t="s">
        <v>166</v>
      </c>
    </row>
    <row r="14" spans="1:1" x14ac:dyDescent="0.2">
      <c r="A14" s="120" t="s">
        <v>140</v>
      </c>
    </row>
    <row r="15" spans="1:1" x14ac:dyDescent="0.2">
      <c r="A15" s="140" t="s">
        <v>167</v>
      </c>
    </row>
    <row r="16" spans="1:1" x14ac:dyDescent="0.2">
      <c r="A16" s="119" t="s">
        <v>141</v>
      </c>
    </row>
    <row r="17" spans="1:1" x14ac:dyDescent="0.2">
      <c r="A17" s="140" t="s">
        <v>168</v>
      </c>
    </row>
    <row r="18" spans="1:1" x14ac:dyDescent="0.2">
      <c r="A18" s="1"/>
    </row>
    <row r="19" spans="1:1" x14ac:dyDescent="0.2">
      <c r="A19" s="1" t="s">
        <v>85</v>
      </c>
    </row>
    <row r="20" spans="1:1" x14ac:dyDescent="0.2">
      <c r="A20" s="140" t="s">
        <v>83</v>
      </c>
    </row>
    <row r="21" spans="1:1" x14ac:dyDescent="0.2">
      <c r="A21" s="119" t="s">
        <v>84</v>
      </c>
    </row>
    <row r="22" spans="1:1" x14ac:dyDescent="0.2">
      <c r="A22" s="121"/>
    </row>
    <row r="23" spans="1:1" x14ac:dyDescent="0.2">
      <c r="A23" s="121"/>
    </row>
    <row r="24" spans="1:1" x14ac:dyDescent="0.2">
      <c r="A24" s="121"/>
    </row>
    <row r="25" spans="1:1" x14ac:dyDescent="0.2">
      <c r="A25" s="121"/>
    </row>
    <row r="26" spans="1:1" x14ac:dyDescent="0.2">
      <c r="A26" s="121"/>
    </row>
    <row r="27" spans="1:1" x14ac:dyDescent="0.2">
      <c r="A27" s="121"/>
    </row>
    <row r="28" spans="1:1" x14ac:dyDescent="0.2">
      <c r="A28" s="121"/>
    </row>
    <row r="29" spans="1:1" x14ac:dyDescent="0.2">
      <c r="A29" s="121"/>
    </row>
    <row r="30" spans="1:1" x14ac:dyDescent="0.2">
      <c r="A30" s="121"/>
    </row>
    <row r="31" spans="1:1" x14ac:dyDescent="0.2">
      <c r="A31" s="121"/>
    </row>
    <row r="32" spans="1:1" x14ac:dyDescent="0.2">
      <c r="A32" s="121"/>
    </row>
    <row r="33" spans="1:1" x14ac:dyDescent="0.2">
      <c r="A33" s="121"/>
    </row>
    <row r="34" spans="1:1" x14ac:dyDescent="0.2">
      <c r="A34" s="121"/>
    </row>
    <row r="35" spans="1:1" x14ac:dyDescent="0.2">
      <c r="A35" s="121"/>
    </row>
    <row r="36" spans="1:1" x14ac:dyDescent="0.2">
      <c r="A36" s="121"/>
    </row>
    <row r="37" spans="1:1" x14ac:dyDescent="0.2">
      <c r="A37" s="121"/>
    </row>
    <row r="38" spans="1:1" x14ac:dyDescent="0.2">
      <c r="A38" s="121"/>
    </row>
    <row r="39" spans="1:1" x14ac:dyDescent="0.2">
      <c r="A39" s="121"/>
    </row>
  </sheetData>
  <sheetProtection password="95A8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I32"/>
  <sheetViews>
    <sheetView workbookViewId="0">
      <selection activeCell="B5" sqref="B5:D11"/>
    </sheetView>
  </sheetViews>
  <sheetFormatPr defaultRowHeight="12.75" x14ac:dyDescent="0.2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117.140625" style="9" bestFit="1" customWidth="1"/>
    <col min="8" max="16384" width="9.140625" style="9"/>
  </cols>
  <sheetData>
    <row r="1" spans="1:9" s="19" customFormat="1" ht="18.75" thickBot="1" x14ac:dyDescent="0.3">
      <c r="A1" s="6" t="s">
        <v>98</v>
      </c>
      <c r="B1" s="46"/>
      <c r="C1" s="88"/>
      <c r="D1" s="88"/>
      <c r="E1" s="86"/>
      <c r="I1" s="24"/>
    </row>
    <row r="3" spans="1:9" x14ac:dyDescent="0.2">
      <c r="A3" s="14" t="s">
        <v>55</v>
      </c>
      <c r="B3" s="14" t="s">
        <v>62</v>
      </c>
      <c r="C3" s="14" t="s">
        <v>64</v>
      </c>
      <c r="D3" s="103" t="s">
        <v>146</v>
      </c>
      <c r="E3" s="89" t="s">
        <v>65</v>
      </c>
      <c r="G3" s="141" t="s">
        <v>160</v>
      </c>
    </row>
    <row r="4" spans="1:9" ht="13.5" thickBot="1" x14ac:dyDescent="0.25">
      <c r="G4" s="102" t="s">
        <v>145</v>
      </c>
    </row>
    <row r="5" spans="1:9" ht="13.5" thickBot="1" x14ac:dyDescent="0.25">
      <c r="A5" s="9" t="s">
        <v>56</v>
      </c>
      <c r="B5" s="3">
        <v>3</v>
      </c>
      <c r="C5" s="132">
        <v>1700000</v>
      </c>
      <c r="D5" s="132">
        <v>256565</v>
      </c>
      <c r="E5" s="91">
        <f>B5*C5+D5</f>
        <v>5356565</v>
      </c>
    </row>
    <row r="6" spans="1:9" ht="13.5" thickBot="1" x14ac:dyDescent="0.25">
      <c r="A6" s="9" t="s">
        <v>57</v>
      </c>
      <c r="B6" s="3">
        <v>3</v>
      </c>
      <c r="C6" s="132">
        <v>2400000</v>
      </c>
      <c r="D6" s="132">
        <v>364715</v>
      </c>
      <c r="E6" s="91">
        <f t="shared" ref="E6:E11" si="0">B6*C6+D6</f>
        <v>7564715</v>
      </c>
    </row>
    <row r="7" spans="1:9" ht="13.5" thickBot="1" x14ac:dyDescent="0.25">
      <c r="A7" s="9" t="s">
        <v>58</v>
      </c>
      <c r="B7" s="3">
        <v>5</v>
      </c>
      <c r="C7" s="132">
        <v>250000</v>
      </c>
      <c r="D7" s="132">
        <v>58290</v>
      </c>
      <c r="E7" s="91">
        <f t="shared" si="0"/>
        <v>1308290</v>
      </c>
    </row>
    <row r="8" spans="1:9" ht="13.5" thickBot="1" x14ac:dyDescent="0.25">
      <c r="A8" s="9" t="s">
        <v>59</v>
      </c>
      <c r="B8" s="3">
        <v>3</v>
      </c>
      <c r="C8" s="132">
        <v>95000</v>
      </c>
      <c r="D8" s="132">
        <v>9452.5</v>
      </c>
      <c r="E8" s="91">
        <f t="shared" si="0"/>
        <v>294452.5</v>
      </c>
    </row>
    <row r="9" spans="1:9" ht="13.5" thickBot="1" x14ac:dyDescent="0.25">
      <c r="A9" s="9" t="s">
        <v>63</v>
      </c>
      <c r="B9" s="3">
        <v>3</v>
      </c>
      <c r="C9" s="132">
        <v>150000</v>
      </c>
      <c r="D9" s="132">
        <v>17290</v>
      </c>
      <c r="E9" s="91">
        <f t="shared" si="0"/>
        <v>467290</v>
      </c>
    </row>
    <row r="10" spans="1:9" ht="13.5" thickBot="1" x14ac:dyDescent="0.25">
      <c r="A10" s="9" t="s">
        <v>60</v>
      </c>
      <c r="B10" s="3">
        <v>3</v>
      </c>
      <c r="C10" s="132">
        <v>35000</v>
      </c>
      <c r="D10" s="132">
        <v>2280</v>
      </c>
      <c r="E10" s="91">
        <f t="shared" si="0"/>
        <v>107280</v>
      </c>
    </row>
    <row r="11" spans="1:9" ht="13.5" thickBot="1" x14ac:dyDescent="0.25">
      <c r="A11" s="9" t="s">
        <v>61</v>
      </c>
      <c r="B11" s="4">
        <v>3</v>
      </c>
      <c r="C11" s="133">
        <v>750000</v>
      </c>
      <c r="D11" s="133">
        <v>109790</v>
      </c>
      <c r="E11" s="91">
        <f t="shared" si="0"/>
        <v>2359790</v>
      </c>
    </row>
    <row r="12" spans="1:9" ht="13.5" thickBot="1" x14ac:dyDescent="0.25">
      <c r="A12" s="14" t="s">
        <v>105</v>
      </c>
      <c r="E12" s="87">
        <f>AVERAGE(E5:E11)</f>
        <v>2494054.6428571427</v>
      </c>
    </row>
    <row r="13" spans="1:9" ht="13.5" thickBot="1" x14ac:dyDescent="0.25"/>
    <row r="14" spans="1:9" s="19" customFormat="1" ht="13.5" thickBot="1" x14ac:dyDescent="0.25">
      <c r="A14" s="20" t="s">
        <v>68</v>
      </c>
      <c r="B14" s="20"/>
      <c r="C14" s="20"/>
      <c r="D14" s="20"/>
      <c r="E14" s="16" t="s">
        <v>67</v>
      </c>
    </row>
    <row r="15" spans="1:9" s="19" customFormat="1" ht="13.5" thickBot="1" x14ac:dyDescent="0.25">
      <c r="A15" s="20" t="s">
        <v>119</v>
      </c>
      <c r="B15" s="20"/>
      <c r="C15" s="20"/>
      <c r="D15" s="20"/>
      <c r="E15" s="31">
        <v>42185</v>
      </c>
    </row>
    <row r="16" spans="1:9" s="19" customFormat="1" ht="13.5" thickBot="1" x14ac:dyDescent="0.25">
      <c r="A16" s="20" t="s">
        <v>120</v>
      </c>
      <c r="B16" s="20"/>
      <c r="C16" s="20"/>
      <c r="D16" s="20"/>
      <c r="E16" s="32">
        <v>43191</v>
      </c>
    </row>
    <row r="17" spans="1:7" ht="13.5" thickBot="1" x14ac:dyDescent="0.25"/>
    <row r="18" spans="1:7" ht="13.5" thickBot="1" x14ac:dyDescent="0.25">
      <c r="A18" s="20" t="s">
        <v>69</v>
      </c>
      <c r="C18" s="14" t="s">
        <v>137</v>
      </c>
      <c r="D18" s="92">
        <f>ESCALATION_FACTORS!$B$4</f>
        <v>42551</v>
      </c>
      <c r="E18" s="101">
        <f>VLOOKUP($E$14,ESCALATION_FACTORS!$A$5:$E$9,2,)</f>
        <v>2.5000000000000001E-2</v>
      </c>
    </row>
    <row r="19" spans="1:7" ht="13.5" thickBot="1" x14ac:dyDescent="0.25">
      <c r="B19" s="14"/>
      <c r="D19" s="92">
        <f>ESCALATION_FACTORS!$C$4</f>
        <v>42916</v>
      </c>
      <c r="E19" s="101">
        <f>VLOOKUP($E$14,ESCALATION_FACTORS!$A$5:$E$9,3,)</f>
        <v>2.5000000000000001E-2</v>
      </c>
    </row>
    <row r="20" spans="1:7" ht="13.5" thickBot="1" x14ac:dyDescent="0.25">
      <c r="B20" s="14"/>
      <c r="D20" s="92">
        <f>ESCALATION_FACTORS!$D$4</f>
        <v>43281</v>
      </c>
      <c r="E20" s="101">
        <f>VLOOKUP($E$14,ESCALATION_FACTORS!$A$5:$E$9,4,)</f>
        <v>2.5000000000000001E-2</v>
      </c>
      <c r="G20" s="14"/>
    </row>
    <row r="21" spans="1:7" ht="13.5" thickBot="1" x14ac:dyDescent="0.25"/>
    <row r="22" spans="1:7" ht="13.5" thickBot="1" x14ac:dyDescent="0.25">
      <c r="A22" s="14" t="s">
        <v>98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2669520.8652971596</v>
      </c>
    </row>
    <row r="28" spans="1:7" ht="13.5" thickBot="1" x14ac:dyDescent="0.25"/>
    <row r="29" spans="1:7" ht="13.5" thickBot="1" x14ac:dyDescent="0.25">
      <c r="A29" s="145" t="s">
        <v>143</v>
      </c>
      <c r="B29" s="146">
        <f>E12</f>
        <v>2494054.6428571427</v>
      </c>
      <c r="G29" s="17"/>
    </row>
    <row r="30" spans="1:7" ht="13.5" thickBot="1" x14ac:dyDescent="0.25">
      <c r="A30" s="147" t="s">
        <v>144</v>
      </c>
      <c r="B30" s="148">
        <f>B29/3</f>
        <v>831351.54761904757</v>
      </c>
      <c r="G30" s="111"/>
    </row>
    <row r="31" spans="1:7" ht="13.5" thickBot="1" x14ac:dyDescent="0.25">
      <c r="A31" s="149" t="s">
        <v>159</v>
      </c>
      <c r="B31" s="150">
        <f>B30*12*50%</f>
        <v>4988109.2857142854</v>
      </c>
      <c r="G31" s="45"/>
    </row>
    <row r="32" spans="1:7" ht="13.5" thickBot="1" x14ac:dyDescent="0.25">
      <c r="A32" s="149" t="s">
        <v>161</v>
      </c>
      <c r="B32" s="151">
        <f>B31*(1+ESCALATION_FACTORS!B8)</f>
        <v>5112812.0178571418</v>
      </c>
      <c r="G32" s="112"/>
    </row>
  </sheetData>
  <sheetProtection algorithmName="SHA-512" hashValue="MeuvSqOoHl49SXvpeQVUlEN97k0ovK7oW/q/ixrlVp9uNThTU0sjAc1csRT+RgkSUpbmLk8JP/aJ+eYFoy65Ig==" saltValue="u93EJzA5MoXxTIS8fRMVDA==" spinCount="100000" sheet="1" objects="1" scenarios="1" formatCells="0" formatColumns="0" formatRows="0"/>
  <phoneticPr fontId="4" type="noConversion"/>
  <hyperlinks>
    <hyperlink ref="G4" r:id="rId1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0"/>
  <sheetViews>
    <sheetView zoomScaleNormal="100" workbookViewId="0">
      <selection activeCell="J23" sqref="J23"/>
    </sheetView>
  </sheetViews>
  <sheetFormatPr defaultRowHeight="12.75" x14ac:dyDescent="0.2"/>
  <cols>
    <col min="1" max="1" width="37.5703125" style="9" customWidth="1"/>
    <col min="2" max="5" width="10.140625" style="9" customWidth="1"/>
    <col min="6" max="16384" width="9.140625" style="9"/>
  </cols>
  <sheetData>
    <row r="1" spans="1:6" ht="18.75" thickBot="1" x14ac:dyDescent="0.3">
      <c r="A1" s="152" t="s">
        <v>66</v>
      </c>
      <c r="B1" s="154"/>
      <c r="C1" s="154"/>
      <c r="D1" s="154"/>
      <c r="E1" s="153"/>
    </row>
    <row r="2" spans="1:6" x14ac:dyDescent="0.2">
      <c r="A2"/>
      <c r="B2"/>
      <c r="C2"/>
      <c r="D2"/>
      <c r="E2"/>
      <c r="F2"/>
    </row>
    <row r="3" spans="1:6" ht="13.5" thickBot="1" x14ac:dyDescent="0.25">
      <c r="A3"/>
      <c r="B3" s="155" t="s">
        <v>136</v>
      </c>
      <c r="C3" s="155"/>
      <c r="D3" s="155"/>
      <c r="E3" s="155"/>
      <c r="F3"/>
    </row>
    <row r="4" spans="1:6" ht="13.5" thickBot="1" x14ac:dyDescent="0.25">
      <c r="A4"/>
      <c r="B4" s="114">
        <v>42551</v>
      </c>
      <c r="C4" s="115">
        <v>42916</v>
      </c>
      <c r="D4" s="115">
        <v>43281</v>
      </c>
      <c r="E4" s="116">
        <v>43646</v>
      </c>
      <c r="F4"/>
    </row>
    <row r="5" spans="1:6" ht="18" customHeight="1" x14ac:dyDescent="0.2">
      <c r="A5" s="20" t="s">
        <v>86</v>
      </c>
      <c r="B5" s="134">
        <v>3.8E-3</v>
      </c>
      <c r="C5" s="135">
        <v>4.1599999999999998E-2</v>
      </c>
      <c r="D5" s="135">
        <v>3.4799999999999998E-2</v>
      </c>
      <c r="E5" s="136">
        <v>4.4400000000000002E-2</v>
      </c>
      <c r="F5"/>
    </row>
    <row r="6" spans="1:6" ht="18" customHeight="1" x14ac:dyDescent="0.2">
      <c r="A6" s="20" t="s">
        <v>111</v>
      </c>
      <c r="B6" s="134">
        <v>3.5000000000000003E-2</v>
      </c>
      <c r="C6" s="135">
        <v>3.5000000000000003E-2</v>
      </c>
      <c r="D6" s="135">
        <v>3.5099999999999999E-2</v>
      </c>
      <c r="E6" s="136">
        <v>3.5099999999999999E-2</v>
      </c>
      <c r="F6"/>
    </row>
    <row r="7" spans="1:6" ht="18" customHeight="1" x14ac:dyDescent="0.2">
      <c r="A7" s="20" t="s">
        <v>134</v>
      </c>
      <c r="B7" s="134">
        <v>4.1000000000000002E-2</v>
      </c>
      <c r="C7" s="135">
        <v>4.1000000000000002E-2</v>
      </c>
      <c r="D7" s="135">
        <v>4.1000000000000002E-2</v>
      </c>
      <c r="E7" s="136">
        <v>4.1000000000000002E-2</v>
      </c>
      <c r="F7"/>
    </row>
    <row r="8" spans="1:6" ht="18" customHeight="1" x14ac:dyDescent="0.2">
      <c r="A8" s="20" t="s">
        <v>67</v>
      </c>
      <c r="B8" s="134">
        <v>2.5000000000000001E-2</v>
      </c>
      <c r="C8" s="135">
        <v>2.5000000000000001E-2</v>
      </c>
      <c r="D8" s="135">
        <v>2.5000000000000001E-2</v>
      </c>
      <c r="E8" s="136">
        <v>2.5000000000000001E-2</v>
      </c>
      <c r="F8"/>
    </row>
    <row r="9" spans="1:6" ht="18" customHeight="1" thickBot="1" x14ac:dyDescent="0.25">
      <c r="A9" s="20" t="s">
        <v>135</v>
      </c>
      <c r="B9" s="137">
        <v>-2.2200000000000001E-2</v>
      </c>
      <c r="C9" s="138">
        <v>-2.2200000000000001E-2</v>
      </c>
      <c r="D9" s="138">
        <v>-2.2200000000000001E-2</v>
      </c>
      <c r="E9" s="139">
        <v>-2.2200000000000001E-2</v>
      </c>
      <c r="F9"/>
    </row>
    <row r="10" spans="1:6" x14ac:dyDescent="0.2">
      <c r="A10"/>
      <c r="B10"/>
      <c r="C10"/>
      <c r="D10"/>
      <c r="E10"/>
      <c r="F10"/>
    </row>
  </sheetData>
  <sheetProtection algorithmName="SHA-512" hashValue="z62cBtO4QURAQaLyAi7pPOKH02jtVkbnWL4K/TdqUBMwR+w/Z+WIJ/L6uNt+c48biomRviYr8yN7+jEwsbV0+Q==" saltValue="SfkR/QYdciTvAnfnTruhLw==" spinCount="100000" sheet="1" objects="1" scenarios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8"/>
  <sheetViews>
    <sheetView zoomScale="85" zoomScaleNormal="100" workbookViewId="0">
      <selection activeCell="B26" sqref="B26"/>
    </sheetView>
  </sheetViews>
  <sheetFormatPr defaultColWidth="82.42578125" defaultRowHeight="12.75" x14ac:dyDescent="0.2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 x14ac:dyDescent="0.3">
      <c r="A1" s="58" t="s">
        <v>1</v>
      </c>
      <c r="B1" s="46"/>
      <c r="C1" s="47"/>
      <c r="D1" s="59"/>
      <c r="E1" s="60"/>
      <c r="F1" s="60"/>
    </row>
    <row r="2" spans="1:6" ht="13.5" thickBot="1" x14ac:dyDescent="0.25">
      <c r="A2" s="61"/>
      <c r="B2" s="62"/>
      <c r="C2" s="63"/>
      <c r="D2" s="23"/>
      <c r="E2" s="23"/>
      <c r="F2" s="23"/>
    </row>
    <row r="3" spans="1:6" ht="13.5" thickBot="1" x14ac:dyDescent="0.25">
      <c r="A3" s="65" t="s">
        <v>96</v>
      </c>
      <c r="B3" s="35">
        <f>B10+B13/B16</f>
        <v>156401.76789256287</v>
      </c>
      <c r="C3" s="66" t="s">
        <v>25</v>
      </c>
      <c r="D3" s="23"/>
      <c r="E3" s="23"/>
      <c r="F3" s="23"/>
    </row>
    <row r="4" spans="1:6" x14ac:dyDescent="0.2">
      <c r="A4" s="65"/>
      <c r="B4" s="67"/>
      <c r="C4" s="66"/>
      <c r="D4" s="23"/>
      <c r="E4" s="23"/>
      <c r="F4" s="23"/>
    </row>
    <row r="5" spans="1:6" x14ac:dyDescent="0.2">
      <c r="A5" s="65" t="s">
        <v>0</v>
      </c>
      <c r="B5" s="67"/>
      <c r="C5" s="66"/>
      <c r="D5" s="23"/>
      <c r="E5" s="23"/>
      <c r="F5" s="23"/>
    </row>
    <row r="6" spans="1:6" x14ac:dyDescent="0.2">
      <c r="A6" s="68"/>
      <c r="B6" s="67"/>
      <c r="C6" s="66"/>
      <c r="D6" s="23"/>
      <c r="E6" s="23"/>
      <c r="F6" s="23"/>
    </row>
    <row r="7" spans="1:6" x14ac:dyDescent="0.2">
      <c r="A7" s="65" t="s">
        <v>87</v>
      </c>
      <c r="B7" s="67"/>
      <c r="C7" s="66"/>
      <c r="D7" s="23"/>
      <c r="E7" s="23"/>
      <c r="F7" s="23"/>
    </row>
    <row r="8" spans="1:6" x14ac:dyDescent="0.2">
      <c r="A8" s="68" t="s">
        <v>88</v>
      </c>
      <c r="B8" s="67"/>
      <c r="C8" s="66"/>
      <c r="D8" s="23"/>
      <c r="E8" s="23"/>
      <c r="F8" s="23"/>
    </row>
    <row r="9" spans="1:6" ht="13.5" thickBot="1" x14ac:dyDescent="0.25">
      <c r="A9" s="68"/>
      <c r="B9" s="67"/>
      <c r="C9" s="66"/>
      <c r="D9" s="23"/>
      <c r="E9" s="23"/>
      <c r="F9" s="23"/>
    </row>
    <row r="10" spans="1:6" ht="13.5" thickBot="1" x14ac:dyDescent="0.25">
      <c r="A10" s="65" t="s">
        <v>89</v>
      </c>
      <c r="B10" s="35">
        <f>'ANNUALISED_FIXED_O&amp;M'!C149</f>
        <v>32622.537204646163</v>
      </c>
      <c r="C10" s="66" t="s">
        <v>25</v>
      </c>
      <c r="D10" s="23"/>
      <c r="E10" s="23"/>
      <c r="F10" s="23"/>
    </row>
    <row r="11" spans="1:6" ht="25.5" x14ac:dyDescent="0.2">
      <c r="A11" s="68" t="s">
        <v>90</v>
      </c>
      <c r="B11" s="67"/>
      <c r="C11" s="66"/>
      <c r="D11" s="23"/>
      <c r="E11" s="23"/>
      <c r="F11" s="23"/>
    </row>
    <row r="12" spans="1:6" ht="13.5" thickBot="1" x14ac:dyDescent="0.25">
      <c r="A12" s="68"/>
      <c r="B12" s="67"/>
      <c r="C12" s="66"/>
      <c r="D12" s="23"/>
      <c r="E12" s="23"/>
      <c r="F12" s="23"/>
    </row>
    <row r="13" spans="1:6" ht="13.5" thickBot="1" x14ac:dyDescent="0.25">
      <c r="A13" s="65" t="s">
        <v>91</v>
      </c>
      <c r="B13" s="35">
        <f>ANNUALISED_CAP_COST!B28</f>
        <v>18628774.218531463</v>
      </c>
      <c r="C13" s="66" t="s">
        <v>24</v>
      </c>
      <c r="D13" s="23"/>
      <c r="E13" s="23"/>
      <c r="F13" s="23"/>
    </row>
    <row r="14" spans="1:6" ht="25.5" x14ac:dyDescent="0.2">
      <c r="A14" s="68" t="s">
        <v>92</v>
      </c>
      <c r="B14" s="69"/>
      <c r="C14" s="66"/>
      <c r="D14" s="23"/>
      <c r="E14" s="70"/>
      <c r="F14" s="23"/>
    </row>
    <row r="15" spans="1:6" ht="13.5" thickBot="1" x14ac:dyDescent="0.25">
      <c r="A15" s="68"/>
      <c r="B15" s="69"/>
      <c r="C15" s="66"/>
      <c r="D15" s="23"/>
      <c r="E15" s="70"/>
      <c r="F15" s="23"/>
    </row>
    <row r="16" spans="1:6" ht="13.5" thickBot="1" x14ac:dyDescent="0.25">
      <c r="A16" s="65" t="s">
        <v>93</v>
      </c>
      <c r="B16" s="104">
        <f>PC!C4</f>
        <v>150.5</v>
      </c>
      <c r="C16" s="66" t="s">
        <v>19</v>
      </c>
      <c r="D16" s="71"/>
      <c r="E16" s="70"/>
      <c r="F16" s="23"/>
    </row>
    <row r="17" spans="1:6" x14ac:dyDescent="0.2">
      <c r="A17" s="68" t="s">
        <v>118</v>
      </c>
      <c r="B17" s="69"/>
      <c r="C17" s="66"/>
      <c r="D17" s="23"/>
      <c r="E17" s="70"/>
      <c r="F17" s="23"/>
    </row>
    <row r="18" spans="1:6" ht="13.5" thickBot="1" x14ac:dyDescent="0.25">
      <c r="A18" s="72"/>
      <c r="B18" s="73"/>
      <c r="C18" s="74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37"/>
  <sheetViews>
    <sheetView zoomScaleNormal="80" workbookViewId="0">
      <selection activeCell="F31" sqref="F31"/>
    </sheetView>
  </sheetViews>
  <sheetFormatPr defaultRowHeight="12.75" x14ac:dyDescent="0.2"/>
  <cols>
    <col min="1" max="1" width="102.7109375" style="19" customWidth="1"/>
    <col min="2" max="2" width="14.85546875" style="24" bestFit="1" customWidth="1"/>
    <col min="3" max="3" width="19.140625" style="48" customWidth="1"/>
    <col min="4" max="16384" width="9.140625" style="19"/>
  </cols>
  <sheetData>
    <row r="1" spans="1:3" s="8" customFormat="1" ht="18.75" thickBot="1" x14ac:dyDescent="0.3">
      <c r="A1" s="6" t="s">
        <v>91</v>
      </c>
      <c r="B1" s="46"/>
      <c r="C1" s="47"/>
    </row>
    <row r="2" spans="1:3" x14ac:dyDescent="0.2">
      <c r="A2" s="26"/>
    </row>
    <row r="3" spans="1:3" x14ac:dyDescent="0.2">
      <c r="A3" s="24" t="s">
        <v>94</v>
      </c>
      <c r="B3" s="42">
        <f>PC!C16</f>
        <v>834781.53192435787</v>
      </c>
      <c r="C3" s="48" t="s">
        <v>22</v>
      </c>
    </row>
    <row r="4" spans="1:3" ht="25.5" x14ac:dyDescent="0.2">
      <c r="A4" s="49" t="s">
        <v>125</v>
      </c>
    </row>
    <row r="5" spans="1:3" x14ac:dyDescent="0.2">
      <c r="A5" s="26"/>
    </row>
    <row r="6" spans="1:3" x14ac:dyDescent="0.2">
      <c r="A6" s="24" t="s">
        <v>17</v>
      </c>
      <c r="B6" s="50">
        <f>M!B3</f>
        <v>0.2</v>
      </c>
      <c r="C6" s="48" t="s">
        <v>18</v>
      </c>
    </row>
    <row r="7" spans="1:3" x14ac:dyDescent="0.2">
      <c r="A7" s="49" t="s">
        <v>124</v>
      </c>
    </row>
    <row r="8" spans="1:3" x14ac:dyDescent="0.2">
      <c r="A8" s="49"/>
    </row>
    <row r="9" spans="1:3" x14ac:dyDescent="0.2">
      <c r="A9" s="24" t="s">
        <v>93</v>
      </c>
      <c r="B9" s="105">
        <f>PC!C4</f>
        <v>150.5</v>
      </c>
      <c r="C9" s="48" t="s">
        <v>19</v>
      </c>
    </row>
    <row r="10" spans="1:3" x14ac:dyDescent="0.2">
      <c r="A10" s="49" t="s">
        <v>126</v>
      </c>
    </row>
    <row r="11" spans="1:3" x14ac:dyDescent="0.2">
      <c r="A11" s="26"/>
    </row>
    <row r="12" spans="1:3" x14ac:dyDescent="0.2">
      <c r="A12" s="24" t="s">
        <v>95</v>
      </c>
      <c r="B12" s="42">
        <f>TC!B11</f>
        <v>160280</v>
      </c>
      <c r="C12" s="48" t="s">
        <v>23</v>
      </c>
    </row>
    <row r="13" spans="1:3" x14ac:dyDescent="0.2">
      <c r="A13" s="49" t="s">
        <v>127</v>
      </c>
    </row>
    <row r="14" spans="1:3" x14ac:dyDescent="0.2">
      <c r="A14" s="26"/>
    </row>
    <row r="15" spans="1:3" x14ac:dyDescent="0.2">
      <c r="A15" s="24" t="s">
        <v>97</v>
      </c>
      <c r="B15" s="42">
        <f>FFC!C18</f>
        <v>7124703.0367416963</v>
      </c>
      <c r="C15" s="48" t="s">
        <v>23</v>
      </c>
    </row>
    <row r="16" spans="1:3" x14ac:dyDescent="0.2">
      <c r="A16" s="49" t="s">
        <v>128</v>
      </c>
    </row>
    <row r="17" spans="1:3" x14ac:dyDescent="0.2">
      <c r="A17" s="26"/>
    </row>
    <row r="18" spans="1:3" x14ac:dyDescent="0.2">
      <c r="A18" s="24" t="s">
        <v>98</v>
      </c>
      <c r="B18" s="42">
        <f>LC!E22</f>
        <v>2669520.8652971596</v>
      </c>
      <c r="C18" s="48" t="s">
        <v>23</v>
      </c>
    </row>
    <row r="19" spans="1:3" x14ac:dyDescent="0.2">
      <c r="A19" s="26" t="s">
        <v>129</v>
      </c>
    </row>
    <row r="20" spans="1:3" x14ac:dyDescent="0.2">
      <c r="A20" s="26"/>
    </row>
    <row r="21" spans="1:3" x14ac:dyDescent="0.2">
      <c r="A21" s="24" t="s">
        <v>15</v>
      </c>
      <c r="B21" s="51">
        <f>WACC!B21</f>
        <v>5.2992352478363536E-2</v>
      </c>
      <c r="C21" s="48" t="s">
        <v>18</v>
      </c>
    </row>
    <row r="22" spans="1:3" x14ac:dyDescent="0.2">
      <c r="A22" s="26" t="s">
        <v>130</v>
      </c>
    </row>
    <row r="23" spans="1:3" x14ac:dyDescent="0.2">
      <c r="A23" s="26"/>
    </row>
    <row r="24" spans="1:3" x14ac:dyDescent="0.2">
      <c r="A24" s="24" t="s">
        <v>99</v>
      </c>
      <c r="B24" s="42">
        <f>(B3*(1+B6)*B9+B12*B9+B15+B18)*(1+B21)^0.5</f>
        <v>189508003.45220554</v>
      </c>
      <c r="C24" s="48" t="s">
        <v>23</v>
      </c>
    </row>
    <row r="25" spans="1:3" x14ac:dyDescent="0.2">
      <c r="A25" s="52"/>
      <c r="B25" s="53"/>
      <c r="C25" s="54"/>
    </row>
    <row r="26" spans="1:3" ht="13.5" thickBot="1" x14ac:dyDescent="0.25">
      <c r="A26" s="24" t="s">
        <v>15</v>
      </c>
      <c r="B26" s="51">
        <f>WACC!B21</f>
        <v>5.2992352478363536E-2</v>
      </c>
      <c r="C26" s="48" t="s">
        <v>18</v>
      </c>
    </row>
    <row r="27" spans="1:3" ht="13.5" thickBot="1" x14ac:dyDescent="0.25">
      <c r="A27" s="24" t="s">
        <v>16</v>
      </c>
      <c r="B27" s="57">
        <v>15</v>
      </c>
      <c r="C27" s="48" t="s">
        <v>20</v>
      </c>
    </row>
    <row r="28" spans="1:3" x14ac:dyDescent="0.2">
      <c r="A28" s="24" t="s">
        <v>91</v>
      </c>
      <c r="B28" s="55">
        <f>-PMT(B26,B27,B24)</f>
        <v>18628774.218531463</v>
      </c>
      <c r="C28" s="48" t="s">
        <v>24</v>
      </c>
    </row>
    <row r="29" spans="1:3" x14ac:dyDescent="0.2">
      <c r="A29" s="26"/>
    </row>
    <row r="30" spans="1:3" x14ac:dyDescent="0.2">
      <c r="A30" s="56" t="s">
        <v>100</v>
      </c>
    </row>
    <row r="31" spans="1:3" x14ac:dyDescent="0.2">
      <c r="A31" s="56" t="s">
        <v>123</v>
      </c>
    </row>
    <row r="37" spans="1:1" x14ac:dyDescent="0.2">
      <c r="A37" s="19" t="s">
        <v>104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150"/>
  <sheetViews>
    <sheetView topLeftCell="A115" zoomScale="85" zoomScaleNormal="70" workbookViewId="0">
      <selection activeCell="D131" sqref="D131"/>
    </sheetView>
  </sheetViews>
  <sheetFormatPr defaultRowHeight="12.75" x14ac:dyDescent="0.2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3" s="8" customFormat="1" ht="18.75" thickBot="1" x14ac:dyDescent="0.3">
      <c r="A1" s="6" t="s">
        <v>89</v>
      </c>
      <c r="B1" s="46"/>
      <c r="C1" s="7"/>
    </row>
    <row r="2" spans="1:3" ht="13.5" thickBot="1" x14ac:dyDescent="0.25"/>
    <row r="3" spans="1:3" ht="18.75" customHeight="1" thickBot="1" x14ac:dyDescent="0.3">
      <c r="A3" s="6" t="s">
        <v>33</v>
      </c>
      <c r="B3" s="46"/>
      <c r="C3" s="10"/>
    </row>
    <row r="4" spans="1:3" ht="13.5" customHeight="1" thickBot="1" x14ac:dyDescent="0.25"/>
    <row r="5" spans="1:3" ht="13.5" thickBot="1" x14ac:dyDescent="0.25">
      <c r="A5" s="36" t="s">
        <v>75</v>
      </c>
      <c r="B5" s="95"/>
      <c r="C5" s="37"/>
    </row>
    <row r="6" spans="1:3" ht="13.5" thickBot="1" x14ac:dyDescent="0.25">
      <c r="A6" s="11" t="s">
        <v>37</v>
      </c>
      <c r="B6" s="96"/>
      <c r="C6" s="2">
        <v>10985000</v>
      </c>
    </row>
    <row r="7" spans="1:3" ht="13.5" thickBot="1" x14ac:dyDescent="0.25">
      <c r="A7" s="12" t="s">
        <v>35</v>
      </c>
      <c r="B7" s="97"/>
      <c r="C7" s="2">
        <v>10985000</v>
      </c>
    </row>
    <row r="8" spans="1:3" ht="13.5" thickBot="1" x14ac:dyDescent="0.25">
      <c r="A8" s="12" t="s">
        <v>36</v>
      </c>
      <c r="B8" s="97"/>
      <c r="C8" s="2">
        <v>10985000</v>
      </c>
    </row>
    <row r="9" spans="1:3" ht="13.5" thickBot="1" x14ac:dyDescent="0.25">
      <c r="A9" s="28" t="s">
        <v>106</v>
      </c>
      <c r="B9" s="63"/>
      <c r="C9" s="2">
        <v>10985000</v>
      </c>
    </row>
    <row r="10" spans="1:3" ht="13.5" thickBot="1" x14ac:dyDescent="0.25">
      <c r="A10" s="12" t="s">
        <v>38</v>
      </c>
      <c r="B10" s="97"/>
      <c r="C10" s="2">
        <v>10985000</v>
      </c>
    </row>
    <row r="11" spans="1:3" ht="13.5" thickBot="1" x14ac:dyDescent="0.25">
      <c r="A11" s="25" t="s">
        <v>39</v>
      </c>
      <c r="B11" s="97"/>
      <c r="C11" s="2">
        <v>10985000</v>
      </c>
    </row>
    <row r="12" spans="1:3" ht="13.5" thickBot="1" x14ac:dyDescent="0.25">
      <c r="A12" s="12" t="s">
        <v>40</v>
      </c>
      <c r="B12" s="97"/>
      <c r="C12" s="2"/>
    </row>
    <row r="13" spans="1:3" ht="13.5" thickBot="1" x14ac:dyDescent="0.25">
      <c r="A13" s="12" t="s">
        <v>41</v>
      </c>
      <c r="B13" s="97"/>
      <c r="C13" s="2"/>
    </row>
    <row r="14" spans="1:3" ht="13.5" thickBot="1" x14ac:dyDescent="0.25">
      <c r="A14" s="12" t="s">
        <v>42</v>
      </c>
      <c r="B14" s="97"/>
      <c r="C14" s="2"/>
    </row>
    <row r="15" spans="1:3" ht="13.5" thickBot="1" x14ac:dyDescent="0.25">
      <c r="A15" s="13" t="s">
        <v>43</v>
      </c>
      <c r="B15" s="98"/>
      <c r="C15" s="2"/>
    </row>
    <row r="16" spans="1:3" ht="13.5" thickBot="1" x14ac:dyDescent="0.25"/>
    <row r="17" spans="1:17" ht="13.5" thickBot="1" x14ac:dyDescent="0.25">
      <c r="A17" s="14" t="s">
        <v>44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 x14ac:dyDescent="0.25">
      <c r="A18" s="14" t="s">
        <v>45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 x14ac:dyDescent="0.25">
      <c r="A19" s="14" t="s">
        <v>49</v>
      </c>
      <c r="B19" s="14"/>
      <c r="C19" s="40">
        <f>C6</f>
        <v>10985000</v>
      </c>
      <c r="D19" s="39">
        <f>C19</f>
        <v>10985000</v>
      </c>
      <c r="E19" s="39">
        <f>D19</f>
        <v>10985000</v>
      </c>
      <c r="F19" s="39">
        <f>E19</f>
        <v>10985000</v>
      </c>
      <c r="G19" s="39">
        <f>F19</f>
        <v>10985000</v>
      </c>
      <c r="H19" s="40">
        <f>C7</f>
        <v>10985000</v>
      </c>
      <c r="I19" s="39">
        <f>H19</f>
        <v>10985000</v>
      </c>
      <c r="J19" s="39">
        <f t="shared" si="1"/>
        <v>10985000</v>
      </c>
      <c r="K19" s="39">
        <f t="shared" si="1"/>
        <v>10985000</v>
      </c>
      <c r="L19" s="39">
        <f t="shared" si="1"/>
        <v>10985000</v>
      </c>
      <c r="M19" s="40">
        <f>C8</f>
        <v>10985000</v>
      </c>
      <c r="N19" s="39">
        <f>M19</f>
        <v>10985000</v>
      </c>
      <c r="O19" s="39">
        <f t="shared" si="1"/>
        <v>10985000</v>
      </c>
      <c r="P19" s="39">
        <f t="shared" si="1"/>
        <v>10985000</v>
      </c>
      <c r="Q19" s="39">
        <f t="shared" si="1"/>
        <v>10985000</v>
      </c>
    </row>
    <row r="20" spans="1:17" x14ac:dyDescent="0.2">
      <c r="A20" s="14" t="s">
        <v>46</v>
      </c>
      <c r="B20" s="14"/>
      <c r="C20" s="39">
        <f>C19/C18</f>
        <v>2197000</v>
      </c>
      <c r="D20" s="39">
        <f t="shared" ref="D20:Q20" si="2">D19/D18</f>
        <v>2197000</v>
      </c>
      <c r="E20" s="39">
        <f t="shared" si="2"/>
        <v>2197000</v>
      </c>
      <c r="F20" s="39">
        <f t="shared" si="2"/>
        <v>2197000</v>
      </c>
      <c r="G20" s="39">
        <f t="shared" si="2"/>
        <v>2197000</v>
      </c>
      <c r="H20" s="39">
        <f t="shared" si="2"/>
        <v>2197000</v>
      </c>
      <c r="I20" s="39">
        <f t="shared" si="2"/>
        <v>2197000</v>
      </c>
      <c r="J20" s="39">
        <f t="shared" si="2"/>
        <v>2197000</v>
      </c>
      <c r="K20" s="39">
        <f t="shared" si="2"/>
        <v>2197000</v>
      </c>
      <c r="L20" s="39">
        <f t="shared" si="2"/>
        <v>2197000</v>
      </c>
      <c r="M20" s="39">
        <f t="shared" si="2"/>
        <v>2197000</v>
      </c>
      <c r="N20" s="39">
        <f t="shared" si="2"/>
        <v>2197000</v>
      </c>
      <c r="O20" s="39">
        <f t="shared" si="2"/>
        <v>2197000</v>
      </c>
      <c r="P20" s="39">
        <f t="shared" si="2"/>
        <v>2197000</v>
      </c>
      <c r="Q20" s="39">
        <f t="shared" si="2"/>
        <v>2197000</v>
      </c>
    </row>
    <row r="21" spans="1:17" x14ac:dyDescent="0.2">
      <c r="A21" s="14" t="s">
        <v>15</v>
      </c>
      <c r="B21" s="14"/>
      <c r="C21" s="41">
        <f>WACC!B21</f>
        <v>5.2992352478363536E-2</v>
      </c>
      <c r="D21" s="41">
        <f>C21</f>
        <v>5.2992352478363536E-2</v>
      </c>
      <c r="E21" s="41">
        <f t="shared" ref="E21:Q21" si="3">D21</f>
        <v>5.2992352478363536E-2</v>
      </c>
      <c r="F21" s="41">
        <f t="shared" si="3"/>
        <v>5.2992352478363536E-2</v>
      </c>
      <c r="G21" s="41">
        <f t="shared" si="3"/>
        <v>5.2992352478363536E-2</v>
      </c>
      <c r="H21" s="41">
        <f t="shared" si="3"/>
        <v>5.2992352478363536E-2</v>
      </c>
      <c r="I21" s="41">
        <f t="shared" si="3"/>
        <v>5.2992352478363536E-2</v>
      </c>
      <c r="J21" s="41">
        <f t="shared" si="3"/>
        <v>5.2992352478363536E-2</v>
      </c>
      <c r="K21" s="41">
        <f t="shared" si="3"/>
        <v>5.2992352478363536E-2</v>
      </c>
      <c r="L21" s="41">
        <f t="shared" si="3"/>
        <v>5.2992352478363536E-2</v>
      </c>
      <c r="M21" s="41">
        <f t="shared" si="3"/>
        <v>5.2992352478363536E-2</v>
      </c>
      <c r="N21" s="41">
        <f t="shared" si="3"/>
        <v>5.2992352478363536E-2</v>
      </c>
      <c r="O21" s="41">
        <f t="shared" si="3"/>
        <v>5.2992352478363536E-2</v>
      </c>
      <c r="P21" s="41">
        <f t="shared" si="3"/>
        <v>5.2992352478363536E-2</v>
      </c>
      <c r="Q21" s="41">
        <f t="shared" si="3"/>
        <v>5.2992352478363536E-2</v>
      </c>
    </row>
    <row r="22" spans="1:17" x14ac:dyDescent="0.2">
      <c r="A22" s="14" t="s">
        <v>47</v>
      </c>
      <c r="B22" s="14"/>
      <c r="C22" s="38">
        <f>C20/(1+C21)^C17</f>
        <v>2086434.90603617</v>
      </c>
      <c r="D22" s="38">
        <f>D20/(1+D21)^D17</f>
        <v>1981434.0542221947</v>
      </c>
      <c r="E22" s="38">
        <f>E20/(1+E21)^E17</f>
        <v>1881717.4213645663</v>
      </c>
      <c r="F22" s="38">
        <f>F20/(1+F21)^F17</f>
        <v>1787019.0765732375</v>
      </c>
      <c r="G22" s="38">
        <f t="shared" ref="G22:Q22" si="4">G20/(1+G21)^G17</f>
        <v>1697086.4720595933</v>
      </c>
      <c r="H22" s="38">
        <f t="shared" si="4"/>
        <v>1611679.7696253585</v>
      </c>
      <c r="I22" s="38">
        <f t="shared" si="4"/>
        <v>1530571.2010462817</v>
      </c>
      <c r="J22" s="38">
        <f t="shared" si="4"/>
        <v>1453544.4606448188</v>
      </c>
      <c r="K22" s="38">
        <f t="shared" si="4"/>
        <v>1380394.1284318925</v>
      </c>
      <c r="L22" s="38">
        <f t="shared" si="4"/>
        <v>1310925.1222793246</v>
      </c>
      <c r="M22" s="38">
        <f t="shared" si="4"/>
        <v>1244952.1776619563</v>
      </c>
      <c r="N22" s="38">
        <f t="shared" si="4"/>
        <v>1182299.3535819976</v>
      </c>
      <c r="O22" s="38">
        <f t="shared" si="4"/>
        <v>1122799.5633579791</v>
      </c>
      <c r="P22" s="38">
        <f t="shared" si="4"/>
        <v>1066294.129026972</v>
      </c>
      <c r="Q22" s="38">
        <f t="shared" si="4"/>
        <v>1012632.3581717387</v>
      </c>
    </row>
    <row r="23" spans="1:17" x14ac:dyDescent="0.2">
      <c r="A23" s="14" t="s">
        <v>48</v>
      </c>
      <c r="B23" s="14"/>
      <c r="C23" s="42">
        <f>SUM(C22:Q22)</f>
        <v>22349784.194084082</v>
      </c>
      <c r="D23" s="45"/>
    </row>
    <row r="24" spans="1:17" x14ac:dyDescent="0.2">
      <c r="A24" s="14" t="s">
        <v>51</v>
      </c>
      <c r="B24" s="14"/>
      <c r="C24" s="42">
        <f>-PMT(C21,ANNUALISED_CAP_COST!$B$27,C23)</f>
        <v>2197000</v>
      </c>
      <c r="D24" s="45"/>
    </row>
    <row r="25" spans="1:17" ht="13.5" thickBot="1" x14ac:dyDescent="0.25">
      <c r="A25" s="14" t="s">
        <v>68</v>
      </c>
      <c r="B25" s="14"/>
      <c r="C25" s="77" t="s">
        <v>111</v>
      </c>
    </row>
    <row r="26" spans="1:17" s="19" customFormat="1" ht="13.5" thickBot="1" x14ac:dyDescent="0.25">
      <c r="A26" s="20" t="s">
        <v>119</v>
      </c>
      <c r="B26" s="20"/>
      <c r="C26" s="31">
        <v>42185</v>
      </c>
      <c r="D26" s="9"/>
    </row>
    <row r="27" spans="1:17" s="19" customFormat="1" ht="13.5" thickBot="1" x14ac:dyDescent="0.25">
      <c r="A27" s="20" t="s">
        <v>120</v>
      </c>
      <c r="B27" s="20"/>
      <c r="C27" s="32">
        <v>43374</v>
      </c>
    </row>
    <row r="28" spans="1:17" ht="13.5" thickBot="1" x14ac:dyDescent="0.25">
      <c r="D28" s="20"/>
      <c r="E28" s="20"/>
    </row>
    <row r="29" spans="1:17" ht="13.5" thickBot="1" x14ac:dyDescent="0.25">
      <c r="A29" s="14" t="s">
        <v>138</v>
      </c>
      <c r="B29" s="92">
        <f>ESCALATION_FACTORS!$B$4</f>
        <v>42551</v>
      </c>
      <c r="C29" s="101">
        <f>VLOOKUP($C$25,ESCALATION_FACTORS!$A$5:$E$9,2,)</f>
        <v>3.5000000000000003E-2</v>
      </c>
    </row>
    <row r="30" spans="1:17" ht="13.5" thickBot="1" x14ac:dyDescent="0.25">
      <c r="A30" s="20"/>
      <c r="B30" s="92">
        <f>ESCALATION_FACTORS!$C$4</f>
        <v>42916</v>
      </c>
      <c r="C30" s="101">
        <f>VLOOKUP($C$25,ESCALATION_FACTORS!$A$5:$E$9,3,)</f>
        <v>3.5000000000000003E-2</v>
      </c>
    </row>
    <row r="31" spans="1:17" ht="13.5" thickBot="1" x14ac:dyDescent="0.25">
      <c r="A31" s="20"/>
      <c r="B31" s="92">
        <f>ESCALATION_FACTORS!$D$4</f>
        <v>43281</v>
      </c>
      <c r="C31" s="101">
        <f>VLOOKUP($C$25,ESCALATION_FACTORS!$A$5:$E$9,4,)</f>
        <v>3.5099999999999999E-2</v>
      </c>
    </row>
    <row r="32" spans="1:17" ht="13.5" thickBot="1" x14ac:dyDescent="0.25">
      <c r="B32" s="92">
        <f>ESCALATION_FACTORS!$E$4</f>
        <v>43646</v>
      </c>
      <c r="C32" s="101">
        <f>VLOOKUP($C$25,ESCALATION_FACTORS!$A$5:$E$9,5,)</f>
        <v>3.5099999999999999E-2</v>
      </c>
    </row>
    <row r="33" spans="1:5" s="19" customFormat="1" ht="13.5" thickBot="1" x14ac:dyDescent="0.25">
      <c r="A33" s="20"/>
      <c r="B33" s="20"/>
      <c r="C33" s="20"/>
      <c r="D33" s="20"/>
      <c r="E33" s="20"/>
    </row>
    <row r="34" spans="1:5" ht="13.5" thickBot="1" x14ac:dyDescent="0.25">
      <c r="A34" s="14" t="s">
        <v>50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MRCP_Calculation!B16</f>
        <v>16329.540916607582</v>
      </c>
      <c r="D34" s="9" t="s">
        <v>54</v>
      </c>
    </row>
    <row r="35" spans="1:5" x14ac:dyDescent="0.2">
      <c r="C35" s="17"/>
    </row>
    <row r="36" spans="1:5" ht="13.5" thickBot="1" x14ac:dyDescent="0.25"/>
    <row r="37" spans="1:5" ht="18.75" thickBot="1" x14ac:dyDescent="0.3">
      <c r="A37" s="9" t="s">
        <v>34</v>
      </c>
      <c r="B37" s="46"/>
      <c r="C37" s="10"/>
    </row>
    <row r="38" spans="1:5" ht="13.5" thickBot="1" x14ac:dyDescent="0.25"/>
    <row r="39" spans="1:5" ht="13.5" thickBot="1" x14ac:dyDescent="0.25">
      <c r="A39" s="36" t="s">
        <v>74</v>
      </c>
      <c r="B39" s="95"/>
      <c r="C39" s="37"/>
    </row>
    <row r="40" spans="1:5" ht="13.5" thickBot="1" x14ac:dyDescent="0.25">
      <c r="A40" s="12" t="s">
        <v>37</v>
      </c>
      <c r="B40" s="96"/>
      <c r="C40" s="2">
        <v>325000</v>
      </c>
    </row>
    <row r="41" spans="1:5" ht="13.5" thickBot="1" x14ac:dyDescent="0.25">
      <c r="A41" s="12" t="s">
        <v>35</v>
      </c>
      <c r="B41" s="97"/>
      <c r="C41" s="2">
        <v>325000</v>
      </c>
    </row>
    <row r="42" spans="1:5" ht="13.5" thickBot="1" x14ac:dyDescent="0.25">
      <c r="A42" s="12" t="s">
        <v>36</v>
      </c>
      <c r="B42" s="97"/>
      <c r="C42" s="2">
        <v>325000</v>
      </c>
    </row>
    <row r="43" spans="1:5" ht="13.5" thickBot="1" x14ac:dyDescent="0.25">
      <c r="A43" s="12" t="s">
        <v>106</v>
      </c>
      <c r="B43" s="97"/>
      <c r="C43" s="2">
        <v>325000</v>
      </c>
    </row>
    <row r="44" spans="1:5" ht="13.5" thickBot="1" x14ac:dyDescent="0.25">
      <c r="A44" s="12" t="s">
        <v>38</v>
      </c>
      <c r="B44" s="97"/>
      <c r="C44" s="2">
        <v>325000</v>
      </c>
    </row>
    <row r="45" spans="1:5" ht="13.5" thickBot="1" x14ac:dyDescent="0.25">
      <c r="A45" s="12" t="s">
        <v>39</v>
      </c>
      <c r="B45" s="97"/>
      <c r="C45" s="2">
        <v>325000</v>
      </c>
    </row>
    <row r="46" spans="1:5" ht="13.5" thickBot="1" x14ac:dyDescent="0.25">
      <c r="A46" s="12" t="s">
        <v>40</v>
      </c>
      <c r="B46" s="97"/>
      <c r="C46" s="2">
        <v>325000</v>
      </c>
    </row>
    <row r="47" spans="1:5" ht="13.5" thickBot="1" x14ac:dyDescent="0.25">
      <c r="A47" s="12" t="s">
        <v>41</v>
      </c>
      <c r="B47" s="97"/>
      <c r="C47" s="2">
        <v>325000</v>
      </c>
    </row>
    <row r="48" spans="1:5" ht="13.5" thickBot="1" x14ac:dyDescent="0.25">
      <c r="A48" s="12" t="s">
        <v>42</v>
      </c>
      <c r="B48" s="97"/>
      <c r="C48" s="2">
        <v>325000</v>
      </c>
    </row>
    <row r="49" spans="1:17" ht="13.5" thickBot="1" x14ac:dyDescent="0.25">
      <c r="A49" s="13" t="s">
        <v>43</v>
      </c>
      <c r="B49" s="98"/>
      <c r="C49" s="2">
        <v>325000</v>
      </c>
    </row>
    <row r="50" spans="1:17" ht="13.5" thickBot="1" x14ac:dyDescent="0.25"/>
    <row r="51" spans="1:17" ht="13.5" thickBot="1" x14ac:dyDescent="0.25">
      <c r="A51" s="14" t="s">
        <v>44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 x14ac:dyDescent="0.25">
      <c r="A52" s="14" t="s">
        <v>45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 x14ac:dyDescent="0.25">
      <c r="A53" s="14" t="s">
        <v>49</v>
      </c>
      <c r="B53" s="14"/>
      <c r="C53" s="40">
        <f>C40</f>
        <v>325000</v>
      </c>
      <c r="D53" s="39">
        <f>C53</f>
        <v>325000</v>
      </c>
      <c r="E53" s="39">
        <f>D53</f>
        <v>325000</v>
      </c>
      <c r="F53" s="39">
        <f>E53</f>
        <v>325000</v>
      </c>
      <c r="G53" s="39">
        <f>F53</f>
        <v>325000</v>
      </c>
      <c r="H53" s="40">
        <f>C41</f>
        <v>325000</v>
      </c>
      <c r="I53" s="39">
        <f>H53</f>
        <v>325000</v>
      </c>
      <c r="J53" s="39">
        <f t="shared" si="6"/>
        <v>325000</v>
      </c>
      <c r="K53" s="39">
        <f t="shared" si="6"/>
        <v>325000</v>
      </c>
      <c r="L53" s="39">
        <f t="shared" si="6"/>
        <v>325000</v>
      </c>
      <c r="M53" s="40">
        <f>C42</f>
        <v>325000</v>
      </c>
      <c r="N53" s="39">
        <f>M53</f>
        <v>325000</v>
      </c>
      <c r="O53" s="39">
        <f t="shared" si="6"/>
        <v>325000</v>
      </c>
      <c r="P53" s="39">
        <f t="shared" si="6"/>
        <v>325000</v>
      </c>
      <c r="Q53" s="39">
        <f t="shared" si="6"/>
        <v>325000</v>
      </c>
    </row>
    <row r="54" spans="1:17" x14ac:dyDescent="0.2">
      <c r="A54" s="14" t="s">
        <v>46</v>
      </c>
      <c r="B54" s="14"/>
      <c r="C54" s="39">
        <f>C53/C52</f>
        <v>65000</v>
      </c>
      <c r="D54" s="39">
        <f t="shared" ref="D54:Q54" si="7">D53/D52</f>
        <v>65000</v>
      </c>
      <c r="E54" s="39">
        <f t="shared" si="7"/>
        <v>65000</v>
      </c>
      <c r="F54" s="39">
        <f t="shared" si="7"/>
        <v>65000</v>
      </c>
      <c r="G54" s="39">
        <f t="shared" si="7"/>
        <v>65000</v>
      </c>
      <c r="H54" s="39">
        <f t="shared" si="7"/>
        <v>65000</v>
      </c>
      <c r="I54" s="39">
        <f t="shared" si="7"/>
        <v>65000</v>
      </c>
      <c r="J54" s="39">
        <f t="shared" si="7"/>
        <v>65000</v>
      </c>
      <c r="K54" s="39">
        <f t="shared" si="7"/>
        <v>65000</v>
      </c>
      <c r="L54" s="39">
        <f t="shared" si="7"/>
        <v>65000</v>
      </c>
      <c r="M54" s="39">
        <f t="shared" si="7"/>
        <v>65000</v>
      </c>
      <c r="N54" s="39">
        <f t="shared" si="7"/>
        <v>65000</v>
      </c>
      <c r="O54" s="39">
        <f t="shared" si="7"/>
        <v>65000</v>
      </c>
      <c r="P54" s="39">
        <f t="shared" si="7"/>
        <v>65000</v>
      </c>
      <c r="Q54" s="39">
        <f t="shared" si="7"/>
        <v>65000</v>
      </c>
    </row>
    <row r="55" spans="1:17" x14ac:dyDescent="0.2">
      <c r="A55" s="9" t="s">
        <v>15</v>
      </c>
      <c r="B55" s="14"/>
      <c r="C55" s="41">
        <f>WACC!B21</f>
        <v>5.2992352478363536E-2</v>
      </c>
      <c r="D55" s="41">
        <f>C55</f>
        <v>5.2992352478363536E-2</v>
      </c>
      <c r="E55" s="41">
        <f t="shared" ref="E55:Q55" si="8">D55</f>
        <v>5.2992352478363536E-2</v>
      </c>
      <c r="F55" s="41">
        <f t="shared" si="8"/>
        <v>5.2992352478363536E-2</v>
      </c>
      <c r="G55" s="41">
        <f t="shared" si="8"/>
        <v>5.2992352478363536E-2</v>
      </c>
      <c r="H55" s="41">
        <f t="shared" si="8"/>
        <v>5.2992352478363536E-2</v>
      </c>
      <c r="I55" s="41">
        <f t="shared" si="8"/>
        <v>5.2992352478363536E-2</v>
      </c>
      <c r="J55" s="41">
        <f t="shared" si="8"/>
        <v>5.2992352478363536E-2</v>
      </c>
      <c r="K55" s="41">
        <f t="shared" si="8"/>
        <v>5.2992352478363536E-2</v>
      </c>
      <c r="L55" s="41">
        <f t="shared" si="8"/>
        <v>5.2992352478363536E-2</v>
      </c>
      <c r="M55" s="41">
        <f t="shared" si="8"/>
        <v>5.2992352478363536E-2</v>
      </c>
      <c r="N55" s="41">
        <f t="shared" si="8"/>
        <v>5.2992352478363536E-2</v>
      </c>
      <c r="O55" s="41">
        <f t="shared" si="8"/>
        <v>5.2992352478363536E-2</v>
      </c>
      <c r="P55" s="41">
        <f t="shared" si="8"/>
        <v>5.2992352478363536E-2</v>
      </c>
      <c r="Q55" s="41">
        <f t="shared" si="8"/>
        <v>5.2992352478363536E-2</v>
      </c>
    </row>
    <row r="56" spans="1:17" x14ac:dyDescent="0.2">
      <c r="A56" s="45" t="s">
        <v>47</v>
      </c>
      <c r="B56" s="14"/>
      <c r="C56" s="38">
        <f>C54/(1+C55)^C51</f>
        <v>61728.843373851181</v>
      </c>
      <c r="D56" s="38">
        <f t="shared" ref="D56:Q56" si="9">D54/(1+D55)^D51</f>
        <v>58622.309296514635</v>
      </c>
      <c r="E56" s="38">
        <f t="shared" si="9"/>
        <v>55672.113058123265</v>
      </c>
      <c r="F56" s="38">
        <f t="shared" si="9"/>
        <v>52870.386880865015</v>
      </c>
      <c r="G56" s="38">
        <f t="shared" si="9"/>
        <v>50209.658936674357</v>
      </c>
      <c r="H56" s="38">
        <f t="shared" si="9"/>
        <v>47682.833420868599</v>
      </c>
      <c r="I56" s="38">
        <f t="shared" si="9"/>
        <v>45283.171628588214</v>
      </c>
      <c r="J56" s="38">
        <f t="shared" si="9"/>
        <v>43004.273983574523</v>
      </c>
      <c r="K56" s="38">
        <f t="shared" si="9"/>
        <v>40840.062971357765</v>
      </c>
      <c r="L56" s="38">
        <f t="shared" si="9"/>
        <v>38784.766931340964</v>
      </c>
      <c r="M56" s="38">
        <f t="shared" si="9"/>
        <v>36832.904664554917</v>
      </c>
      <c r="N56" s="38">
        <f t="shared" si="9"/>
        <v>34979.27081603543</v>
      </c>
      <c r="O56" s="38">
        <f t="shared" si="9"/>
        <v>33218.921992839612</v>
      </c>
      <c r="P56" s="38">
        <f t="shared" si="9"/>
        <v>31547.163580679648</v>
      </c>
      <c r="Q56" s="38">
        <f t="shared" si="9"/>
        <v>29959.537224015938</v>
      </c>
    </row>
    <row r="57" spans="1:17" x14ac:dyDescent="0.2">
      <c r="A57" s="14" t="s">
        <v>48</v>
      </c>
      <c r="B57" s="14"/>
      <c r="C57" s="42">
        <f>SUM(C56:Q56)</f>
        <v>661236.21875988424</v>
      </c>
      <c r="D57" s="45"/>
    </row>
    <row r="58" spans="1:17" ht="13.5" thickBot="1" x14ac:dyDescent="0.25">
      <c r="A58" s="14" t="s">
        <v>51</v>
      </c>
      <c r="B58" s="14"/>
      <c r="C58" s="42">
        <f>-PMT(C55,ANNUALISED_CAP_COST!$B$27,C57)</f>
        <v>65000.000000000015</v>
      </c>
      <c r="D58" s="45"/>
    </row>
    <row r="59" spans="1:17" ht="13.5" thickBot="1" x14ac:dyDescent="0.25">
      <c r="A59" s="14" t="s">
        <v>68</v>
      </c>
      <c r="B59" s="14"/>
      <c r="C59" s="16" t="s">
        <v>134</v>
      </c>
    </row>
    <row r="60" spans="1:17" s="19" customFormat="1" ht="13.5" thickBot="1" x14ac:dyDescent="0.25">
      <c r="A60" s="20" t="s">
        <v>119</v>
      </c>
      <c r="B60" s="20"/>
      <c r="C60" s="31">
        <v>42185</v>
      </c>
      <c r="D60" s="9"/>
    </row>
    <row r="61" spans="1:17" s="19" customFormat="1" ht="13.5" thickBot="1" x14ac:dyDescent="0.25">
      <c r="A61" s="20" t="s">
        <v>120</v>
      </c>
      <c r="B61" s="20"/>
      <c r="C61" s="32">
        <v>43374</v>
      </c>
    </row>
    <row r="62" spans="1:17" ht="13.5" thickBot="1" x14ac:dyDescent="0.25">
      <c r="D62" s="20"/>
      <c r="E62" s="20"/>
    </row>
    <row r="63" spans="1:17" ht="13.5" thickBot="1" x14ac:dyDescent="0.25">
      <c r="A63" s="14" t="s">
        <v>138</v>
      </c>
      <c r="B63" s="92">
        <f>ESCALATION_FACTORS!$B$4</f>
        <v>42551</v>
      </c>
      <c r="C63" s="101">
        <f>VLOOKUP($C$59,ESCALATION_FACTORS!$A$5:$E$9,2,)</f>
        <v>4.1000000000000002E-2</v>
      </c>
    </row>
    <row r="64" spans="1:17" s="19" customFormat="1" ht="13.5" thickBot="1" x14ac:dyDescent="0.25">
      <c r="A64" s="20"/>
      <c r="B64" s="92">
        <f>ESCALATION_FACTORS!$C$4</f>
        <v>42916</v>
      </c>
      <c r="C64" s="101">
        <f>VLOOKUP($C$59,ESCALATION_FACTORS!$A$5:$E$9,3,)</f>
        <v>4.1000000000000002E-2</v>
      </c>
      <c r="D64" s="20"/>
      <c r="E64" s="20"/>
    </row>
    <row r="65" spans="1:5" s="19" customFormat="1" ht="13.5" thickBot="1" x14ac:dyDescent="0.25">
      <c r="A65" s="20"/>
      <c r="B65" s="92">
        <f>ESCALATION_FACTORS!$D$4</f>
        <v>43281</v>
      </c>
      <c r="C65" s="101">
        <f>VLOOKUP($C$59,ESCALATION_FACTORS!$A$5:$E$9,4,)</f>
        <v>4.1000000000000002E-2</v>
      </c>
      <c r="D65" s="20"/>
      <c r="E65" s="20"/>
    </row>
    <row r="66" spans="1:5" s="19" customFormat="1" ht="13.5" thickBot="1" x14ac:dyDescent="0.25">
      <c r="A66" s="9"/>
      <c r="B66" s="92">
        <f>ESCALATION_FACTORS!$E$4</f>
        <v>43646</v>
      </c>
      <c r="C66" s="101">
        <f>VLOOKUP($C$59,ESCALATION_FACTORS!$A$5:$E$9,5,)</f>
        <v>4.1000000000000002E-2</v>
      </c>
      <c r="D66" s="20"/>
      <c r="E66" s="20"/>
    </row>
    <row r="67" spans="1:5" s="19" customFormat="1" ht="13.5" thickBot="1" x14ac:dyDescent="0.25">
      <c r="A67" s="20"/>
      <c r="B67" s="20"/>
      <c r="C67" s="20"/>
      <c r="D67" s="20"/>
      <c r="E67" s="20"/>
    </row>
    <row r="68" spans="1:5" ht="13.5" thickBot="1" x14ac:dyDescent="0.25">
      <c r="A68" s="14" t="s">
        <v>50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MRCP_Calculation!B16</f>
        <v>492.23829241224217</v>
      </c>
      <c r="D68" s="9" t="s">
        <v>54</v>
      </c>
    </row>
    <row r="69" spans="1:5" x14ac:dyDescent="0.2">
      <c r="A69" s="14"/>
      <c r="B69" s="14"/>
      <c r="C69" s="18"/>
    </row>
    <row r="70" spans="1:5" ht="13.5" thickBot="1" x14ac:dyDescent="0.25"/>
    <row r="71" spans="1:5" ht="13.5" thickBot="1" x14ac:dyDescent="0.25">
      <c r="A71" s="36" t="s">
        <v>73</v>
      </c>
      <c r="B71" s="95"/>
      <c r="C71" s="37"/>
    </row>
    <row r="72" spans="1:5" ht="13.5" thickBot="1" x14ac:dyDescent="0.25">
      <c r="A72" s="11" t="s">
        <v>37</v>
      </c>
      <c r="B72" s="96"/>
      <c r="C72" s="2">
        <v>6250</v>
      </c>
    </row>
    <row r="73" spans="1:5" ht="13.5" thickBot="1" x14ac:dyDescent="0.25">
      <c r="A73" s="12" t="s">
        <v>35</v>
      </c>
      <c r="B73" s="97"/>
      <c r="C73" s="2">
        <v>6250</v>
      </c>
    </row>
    <row r="74" spans="1:5" ht="13.5" thickBot="1" x14ac:dyDescent="0.25">
      <c r="A74" s="12" t="s">
        <v>36</v>
      </c>
      <c r="B74" s="97"/>
      <c r="C74" s="2">
        <v>6250</v>
      </c>
    </row>
    <row r="75" spans="1:5" ht="13.5" thickBot="1" x14ac:dyDescent="0.25">
      <c r="A75" s="12" t="s">
        <v>106</v>
      </c>
      <c r="B75" s="97"/>
      <c r="C75" s="2">
        <v>6250</v>
      </c>
    </row>
    <row r="76" spans="1:5" ht="13.5" thickBot="1" x14ac:dyDescent="0.25">
      <c r="A76" s="12" t="s">
        <v>38</v>
      </c>
      <c r="B76" s="97"/>
      <c r="C76" s="2">
        <v>6250</v>
      </c>
    </row>
    <row r="77" spans="1:5" ht="13.5" thickBot="1" x14ac:dyDescent="0.25">
      <c r="A77" s="12" t="s">
        <v>39</v>
      </c>
      <c r="B77" s="97"/>
      <c r="C77" s="2">
        <v>6250</v>
      </c>
    </row>
    <row r="78" spans="1:5" ht="13.5" thickBot="1" x14ac:dyDescent="0.25">
      <c r="A78" s="12" t="s">
        <v>40</v>
      </c>
      <c r="B78" s="97"/>
      <c r="C78" s="2">
        <v>6250</v>
      </c>
    </row>
    <row r="79" spans="1:5" ht="13.5" thickBot="1" x14ac:dyDescent="0.25">
      <c r="A79" s="12" t="s">
        <v>41</v>
      </c>
      <c r="B79" s="97"/>
      <c r="C79" s="2">
        <v>6250</v>
      </c>
    </row>
    <row r="80" spans="1:5" ht="13.5" thickBot="1" x14ac:dyDescent="0.25">
      <c r="A80" s="12" t="s">
        <v>42</v>
      </c>
      <c r="B80" s="97"/>
      <c r="C80" s="2">
        <v>6250</v>
      </c>
    </row>
    <row r="81" spans="1:17" ht="13.5" thickBot="1" x14ac:dyDescent="0.25">
      <c r="A81" s="12" t="s">
        <v>43</v>
      </c>
      <c r="B81" s="97"/>
      <c r="C81" s="2">
        <v>6250</v>
      </c>
    </row>
    <row r="82" spans="1:17" ht="13.5" thickBot="1" x14ac:dyDescent="0.25">
      <c r="A82" s="12" t="s">
        <v>52</v>
      </c>
      <c r="B82" s="97"/>
      <c r="C82" s="2">
        <v>6250</v>
      </c>
    </row>
    <row r="83" spans="1:17" ht="13.5" thickBot="1" x14ac:dyDescent="0.25">
      <c r="A83" s="13" t="s">
        <v>53</v>
      </c>
      <c r="B83" s="98"/>
      <c r="C83" s="2">
        <v>6250</v>
      </c>
    </row>
    <row r="84" spans="1:17" ht="13.5" thickBot="1" x14ac:dyDescent="0.25"/>
    <row r="85" spans="1:17" ht="13.5" thickBot="1" x14ac:dyDescent="0.25">
      <c r="A85" s="14" t="s">
        <v>44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 x14ac:dyDescent="0.25">
      <c r="A86" s="14" t="s">
        <v>45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 x14ac:dyDescent="0.25">
      <c r="A87" s="14" t="s">
        <v>49</v>
      </c>
      <c r="B87" s="14"/>
      <c r="C87" s="40">
        <f>C72</f>
        <v>6250</v>
      </c>
      <c r="D87" s="39">
        <f>C87</f>
        <v>6250</v>
      </c>
      <c r="E87" s="39">
        <f>D87</f>
        <v>6250</v>
      </c>
      <c r="F87" s="39">
        <f>E87</f>
        <v>6250</v>
      </c>
      <c r="G87" s="39">
        <f>F87</f>
        <v>6250</v>
      </c>
      <c r="H87" s="39">
        <f>C73</f>
        <v>6250</v>
      </c>
      <c r="I87" s="39">
        <f>H87</f>
        <v>6250</v>
      </c>
      <c r="J87" s="39">
        <f t="shared" si="11"/>
        <v>6250</v>
      </c>
      <c r="K87" s="39">
        <f t="shared" si="11"/>
        <v>6250</v>
      </c>
      <c r="L87" s="39">
        <f t="shared" si="11"/>
        <v>6250</v>
      </c>
      <c r="M87" s="39">
        <f>C74</f>
        <v>6250</v>
      </c>
      <c r="N87" s="39">
        <f>M87</f>
        <v>6250</v>
      </c>
      <c r="O87" s="39">
        <f t="shared" si="11"/>
        <v>6250</v>
      </c>
      <c r="P87" s="39">
        <f t="shared" si="11"/>
        <v>6250</v>
      </c>
      <c r="Q87" s="39">
        <f t="shared" si="11"/>
        <v>6250</v>
      </c>
    </row>
    <row r="88" spans="1:17" x14ac:dyDescent="0.2">
      <c r="A88" s="14" t="s">
        <v>46</v>
      </c>
      <c r="B88" s="14"/>
      <c r="C88" s="39">
        <f>C87/C86</f>
        <v>1250</v>
      </c>
      <c r="D88" s="39">
        <f t="shared" ref="D88:Q88" si="12">D87/D86</f>
        <v>1250</v>
      </c>
      <c r="E88" s="39">
        <f t="shared" si="12"/>
        <v>1250</v>
      </c>
      <c r="F88" s="39">
        <f t="shared" si="12"/>
        <v>1250</v>
      </c>
      <c r="G88" s="39">
        <f t="shared" si="12"/>
        <v>1250</v>
      </c>
      <c r="H88" s="39">
        <f t="shared" si="12"/>
        <v>1250</v>
      </c>
      <c r="I88" s="39">
        <f t="shared" si="12"/>
        <v>1250</v>
      </c>
      <c r="J88" s="39">
        <f t="shared" si="12"/>
        <v>1250</v>
      </c>
      <c r="K88" s="39">
        <f t="shared" si="12"/>
        <v>1250</v>
      </c>
      <c r="L88" s="39">
        <f t="shared" si="12"/>
        <v>1250</v>
      </c>
      <c r="M88" s="39">
        <f t="shared" si="12"/>
        <v>1250</v>
      </c>
      <c r="N88" s="39">
        <f t="shared" si="12"/>
        <v>1250</v>
      </c>
      <c r="O88" s="39">
        <f t="shared" si="12"/>
        <v>1250</v>
      </c>
      <c r="P88" s="39">
        <f t="shared" si="12"/>
        <v>1250</v>
      </c>
      <c r="Q88" s="39">
        <f t="shared" si="12"/>
        <v>1250</v>
      </c>
    </row>
    <row r="89" spans="1:17" x14ac:dyDescent="0.2">
      <c r="A89" s="14" t="s">
        <v>15</v>
      </c>
      <c r="B89" s="14"/>
      <c r="C89" s="41">
        <f>WACC!B21</f>
        <v>5.2992352478363536E-2</v>
      </c>
      <c r="D89" s="41">
        <f>C89</f>
        <v>5.2992352478363536E-2</v>
      </c>
      <c r="E89" s="41">
        <f t="shared" ref="E89:Q89" si="13">D89</f>
        <v>5.2992352478363536E-2</v>
      </c>
      <c r="F89" s="41">
        <f t="shared" si="13"/>
        <v>5.2992352478363536E-2</v>
      </c>
      <c r="G89" s="41">
        <f t="shared" si="13"/>
        <v>5.2992352478363536E-2</v>
      </c>
      <c r="H89" s="41">
        <f t="shared" si="13"/>
        <v>5.2992352478363536E-2</v>
      </c>
      <c r="I89" s="41">
        <f t="shared" si="13"/>
        <v>5.2992352478363536E-2</v>
      </c>
      <c r="J89" s="41">
        <f t="shared" si="13"/>
        <v>5.2992352478363536E-2</v>
      </c>
      <c r="K89" s="41">
        <f t="shared" si="13"/>
        <v>5.2992352478363536E-2</v>
      </c>
      <c r="L89" s="41">
        <f t="shared" si="13"/>
        <v>5.2992352478363536E-2</v>
      </c>
      <c r="M89" s="41">
        <f t="shared" si="13"/>
        <v>5.2992352478363536E-2</v>
      </c>
      <c r="N89" s="41">
        <f t="shared" si="13"/>
        <v>5.2992352478363536E-2</v>
      </c>
      <c r="O89" s="41">
        <f t="shared" si="13"/>
        <v>5.2992352478363536E-2</v>
      </c>
      <c r="P89" s="41">
        <f t="shared" si="13"/>
        <v>5.2992352478363536E-2</v>
      </c>
      <c r="Q89" s="41">
        <f t="shared" si="13"/>
        <v>5.2992352478363536E-2</v>
      </c>
    </row>
    <row r="90" spans="1:17" x14ac:dyDescent="0.2">
      <c r="A90" s="14" t="s">
        <v>47</v>
      </c>
      <c r="B90" s="14"/>
      <c r="C90" s="38">
        <f t="shared" ref="C90:Q90" si="14">C88/(1+C89)^C85</f>
        <v>1187.0931418048303</v>
      </c>
      <c r="D90" s="38">
        <f t="shared" si="14"/>
        <v>1127.3521018560507</v>
      </c>
      <c r="E90" s="38">
        <f t="shared" si="14"/>
        <v>1070.6175588100627</v>
      </c>
      <c r="F90" s="38">
        <f t="shared" si="14"/>
        <v>1016.7382092474041</v>
      </c>
      <c r="G90" s="38">
        <f t="shared" si="14"/>
        <v>965.57036416681456</v>
      </c>
      <c r="H90" s="38">
        <f t="shared" si="14"/>
        <v>916.97756578593453</v>
      </c>
      <c r="I90" s="38">
        <f t="shared" si="14"/>
        <v>870.83022362669647</v>
      </c>
      <c r="J90" s="38">
        <f t="shared" si="14"/>
        <v>827.0052689148946</v>
      </c>
      <c r="K90" s="38">
        <f t="shared" si="14"/>
        <v>785.38582637226477</v>
      </c>
      <c r="L90" s="38">
        <f t="shared" si="14"/>
        <v>745.86090252578788</v>
      </c>
      <c r="M90" s="38">
        <f t="shared" si="14"/>
        <v>708.3250897029792</v>
      </c>
      <c r="N90" s="38">
        <f t="shared" si="14"/>
        <v>672.67828492375838</v>
      </c>
      <c r="O90" s="38">
        <f t="shared" si="14"/>
        <v>638.82542293922336</v>
      </c>
      <c r="P90" s="38">
        <f t="shared" si="14"/>
        <v>606.67622270537788</v>
      </c>
      <c r="Q90" s="38">
        <f t="shared" si="14"/>
        <v>576.14494661569108</v>
      </c>
    </row>
    <row r="91" spans="1:17" x14ac:dyDescent="0.2">
      <c r="A91" s="14" t="s">
        <v>48</v>
      </c>
      <c r="B91" s="14"/>
      <c r="C91" s="42">
        <f>SUM(C90:Q90)</f>
        <v>12716.081129997772</v>
      </c>
      <c r="D91" s="45"/>
    </row>
    <row r="92" spans="1:17" ht="13.5" thickBot="1" x14ac:dyDescent="0.25">
      <c r="A92" s="14" t="s">
        <v>51</v>
      </c>
      <c r="B92" s="14"/>
      <c r="C92" s="42">
        <f>-PMT(C89,ANNUALISED_CAP_COST!$B$27,C91)</f>
        <v>1250.0000000000002</v>
      </c>
      <c r="D92" s="45"/>
    </row>
    <row r="93" spans="1:17" ht="13.5" thickBot="1" x14ac:dyDescent="0.25">
      <c r="A93" s="14" t="s">
        <v>68</v>
      </c>
      <c r="B93" s="14"/>
      <c r="C93" s="16" t="s">
        <v>134</v>
      </c>
    </row>
    <row r="94" spans="1:17" s="19" customFormat="1" ht="13.5" thickBot="1" x14ac:dyDescent="0.25">
      <c r="A94" s="20" t="s">
        <v>119</v>
      </c>
      <c r="B94" s="20"/>
      <c r="C94" s="31">
        <v>42185</v>
      </c>
      <c r="D94" s="9"/>
    </row>
    <row r="95" spans="1:17" s="19" customFormat="1" ht="13.5" thickBot="1" x14ac:dyDescent="0.25">
      <c r="A95" s="20" t="s">
        <v>120</v>
      </c>
      <c r="B95" s="20"/>
      <c r="C95" s="32">
        <v>43374</v>
      </c>
    </row>
    <row r="96" spans="1:17" ht="13.5" thickBot="1" x14ac:dyDescent="0.25">
      <c r="D96" s="20"/>
      <c r="E96" s="20"/>
    </row>
    <row r="97" spans="1:11" ht="13.5" thickBot="1" x14ac:dyDescent="0.25">
      <c r="A97" s="14" t="s">
        <v>138</v>
      </c>
      <c r="B97" s="92">
        <f>ESCALATION_FACTORS!$B$4</f>
        <v>42551</v>
      </c>
      <c r="C97" s="101">
        <f>VLOOKUP($C$93,ESCALATION_FACTORS!$A$5:$E$9,2,)</f>
        <v>4.1000000000000002E-2</v>
      </c>
    </row>
    <row r="98" spans="1:11" s="19" customFormat="1" ht="13.5" thickBot="1" x14ac:dyDescent="0.25">
      <c r="A98" s="20"/>
      <c r="B98" s="92">
        <f>ESCALATION_FACTORS!$C$4</f>
        <v>42916</v>
      </c>
      <c r="C98" s="101">
        <f>VLOOKUP($C$93,ESCALATION_FACTORS!$A$5:$E$9,3,)</f>
        <v>4.1000000000000002E-2</v>
      </c>
      <c r="D98" s="20"/>
      <c r="E98" s="20"/>
    </row>
    <row r="99" spans="1:11" s="19" customFormat="1" ht="13.5" thickBot="1" x14ac:dyDescent="0.25">
      <c r="A99" s="20"/>
      <c r="B99" s="92">
        <f>ESCALATION_FACTORS!$D$4</f>
        <v>43281</v>
      </c>
      <c r="C99" s="101">
        <f>VLOOKUP($C$93,ESCALATION_FACTORS!$A$5:$E$9,4,)</f>
        <v>4.1000000000000002E-2</v>
      </c>
      <c r="D99" s="20"/>
      <c r="E99" s="20"/>
    </row>
    <row r="100" spans="1:11" s="19" customFormat="1" ht="13.5" thickBot="1" x14ac:dyDescent="0.25">
      <c r="A100" s="9"/>
      <c r="B100" s="92">
        <f>ESCALATION_FACTORS!$E$4</f>
        <v>43646</v>
      </c>
      <c r="C100" s="101">
        <f>VLOOKUP($C$93,ESCALATION_FACTORS!$A$5:$E$9,5,)</f>
        <v>4.1000000000000002E-2</v>
      </c>
      <c r="D100" s="20"/>
      <c r="E100" s="20"/>
    </row>
    <row r="101" spans="1:11" s="19" customFormat="1" ht="13.5" thickBot="1" x14ac:dyDescent="0.25">
      <c r="A101" s="20"/>
      <c r="B101" s="20"/>
      <c r="C101" s="20"/>
      <c r="D101" s="20"/>
      <c r="E101" s="20"/>
    </row>
    <row r="102" spans="1:11" ht="13.5" thickBot="1" x14ac:dyDescent="0.25">
      <c r="A102" s="14" t="s">
        <v>50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MRCP_Calculation!B16</f>
        <v>9.4661210079277343</v>
      </c>
      <c r="D102" s="9" t="s">
        <v>54</v>
      </c>
      <c r="K102" s="17"/>
    </row>
    <row r="103" spans="1:11" x14ac:dyDescent="0.2">
      <c r="K103" s="109"/>
    </row>
    <row r="104" spans="1:11" ht="13.5" thickBot="1" x14ac:dyDescent="0.25"/>
    <row r="105" spans="1:11" ht="18.75" thickBot="1" x14ac:dyDescent="0.3">
      <c r="A105" s="6" t="s">
        <v>113</v>
      </c>
      <c r="B105" s="46"/>
      <c r="C105" s="10"/>
    </row>
    <row r="106" spans="1:11" ht="13.5" thickBot="1" x14ac:dyDescent="0.25">
      <c r="A106" s="23" t="s">
        <v>155</v>
      </c>
      <c r="B106" s="87">
        <f>(PC!C16*(1+M!B3)*PC!C4)</f>
        <v>150761544.66553903</v>
      </c>
      <c r="C106" s="19"/>
      <c r="D106" s="19"/>
      <c r="E106" s="19"/>
      <c r="F106" s="19"/>
      <c r="G106" s="19"/>
    </row>
    <row r="107" spans="1:11" ht="13.5" thickBot="1" x14ac:dyDescent="0.25">
      <c r="A107" s="23" t="s">
        <v>150</v>
      </c>
      <c r="B107" s="87">
        <f>FFC!C18</f>
        <v>7124703.0367416963</v>
      </c>
      <c r="C107" s="19"/>
      <c r="D107" s="19"/>
      <c r="E107" s="19"/>
      <c r="F107" s="19"/>
      <c r="G107" s="19"/>
    </row>
    <row r="108" spans="1:11" ht="13.5" thickBot="1" x14ac:dyDescent="0.25">
      <c r="A108" s="26" t="s">
        <v>149</v>
      </c>
      <c r="B108" s="124">
        <v>2.3999999999999998E-3</v>
      </c>
      <c r="C108" s="19"/>
      <c r="D108" s="19"/>
      <c r="E108" s="19"/>
      <c r="F108" s="19"/>
      <c r="G108" s="19"/>
    </row>
    <row r="109" spans="1:11" ht="13.5" thickBot="1" x14ac:dyDescent="0.25">
      <c r="A109" s="23" t="s">
        <v>147</v>
      </c>
      <c r="B109" s="125">
        <v>1.02</v>
      </c>
      <c r="C109" s="19"/>
      <c r="D109" s="19"/>
      <c r="E109" s="19"/>
      <c r="F109" s="19"/>
      <c r="G109" s="19"/>
    </row>
    <row r="110" spans="1:11" ht="13.5" thickBot="1" x14ac:dyDescent="0.25">
      <c r="A110" s="23" t="s">
        <v>148</v>
      </c>
      <c r="B110" s="123">
        <v>1.1000000000000001</v>
      </c>
      <c r="C110" s="19"/>
      <c r="D110" s="19" t="s">
        <v>153</v>
      </c>
      <c r="E110" s="26" t="s">
        <v>154</v>
      </c>
      <c r="F110" s="19"/>
      <c r="G110" s="19"/>
    </row>
    <row r="111" spans="1:11" ht="13.5" thickBot="1" x14ac:dyDescent="0.25">
      <c r="A111" s="106" t="s">
        <v>131</v>
      </c>
      <c r="B111" s="107"/>
      <c r="C111" s="43">
        <f>(B106+B107)*B108*B109*B110</f>
        <v>425156.08781270159</v>
      </c>
      <c r="G111" s="64"/>
    </row>
    <row r="112" spans="1:11" s="25" customFormat="1" ht="13.5" thickBot="1" x14ac:dyDescent="0.25">
      <c r="A112" s="23" t="s">
        <v>152</v>
      </c>
      <c r="B112" s="126">
        <v>156400</v>
      </c>
      <c r="C112" s="108"/>
      <c r="D112" s="113">
        <f>MRCP_Calculation!B3</f>
        <v>156401.76789256287</v>
      </c>
      <c r="E112" s="108" t="b">
        <f>ROUND(B112,-2)=ROUND(D112,-2)</f>
        <v>1</v>
      </c>
      <c r="F112" s="108"/>
      <c r="G112" s="108"/>
    </row>
    <row r="113" spans="1:5" ht="13.5" thickBot="1" x14ac:dyDescent="0.25">
      <c r="A113" s="106" t="s">
        <v>133</v>
      </c>
      <c r="C113" s="43">
        <f>(2*B112*PC!C4)*B108*B109*B110</f>
        <v>126767.32991999999</v>
      </c>
    </row>
    <row r="114" spans="1:5" ht="13.5" thickBot="1" x14ac:dyDescent="0.25">
      <c r="A114" s="106" t="s">
        <v>132</v>
      </c>
      <c r="B114" s="2">
        <v>108900</v>
      </c>
      <c r="D114" s="14"/>
      <c r="E114" s="64"/>
    </row>
    <row r="115" spans="1:5" ht="13.5" thickBot="1" x14ac:dyDescent="0.25">
      <c r="A115" s="122" t="s">
        <v>157</v>
      </c>
      <c r="B115" s="2">
        <v>20000</v>
      </c>
      <c r="C115" s="43">
        <f>IF(AND(C119&gt;=B123,C119&lt;=B124),(B114+B115)*(1+C122)*(1+C123)*(1+C124)^((C119-B123)/(B124-B123)),NA())</f>
        <v>137968.60486689577</v>
      </c>
      <c r="D115" s="14"/>
      <c r="E115" s="64"/>
    </row>
    <row r="116" spans="1:5" ht="13.5" thickBot="1" x14ac:dyDescent="0.25">
      <c r="A116" s="20" t="s">
        <v>114</v>
      </c>
      <c r="B116" s="20"/>
      <c r="C116" s="43">
        <f>SUM(C111:C115)</f>
        <v>689892.02259959746</v>
      </c>
      <c r="D116" s="14"/>
    </row>
    <row r="117" spans="1:5" s="19" customFormat="1" ht="13.5" thickBot="1" x14ac:dyDescent="0.25">
      <c r="A117" s="20"/>
      <c r="B117" s="20"/>
      <c r="C117" s="20"/>
      <c r="D117" s="20"/>
      <c r="E117" s="20"/>
    </row>
    <row r="118" spans="1:5" ht="13.5" thickBot="1" x14ac:dyDescent="0.25">
      <c r="A118" s="20" t="s">
        <v>68</v>
      </c>
      <c r="B118" s="20"/>
      <c r="C118" s="16" t="s">
        <v>67</v>
      </c>
      <c r="D118" s="24"/>
    </row>
    <row r="119" spans="1:5" s="19" customFormat="1" ht="13.5" thickBot="1" x14ac:dyDescent="0.25">
      <c r="A119" s="20" t="s">
        <v>119</v>
      </c>
      <c r="B119" s="20"/>
      <c r="C119" s="31">
        <v>43191</v>
      </c>
      <c r="D119" s="110"/>
    </row>
    <row r="120" spans="1:5" s="19" customFormat="1" ht="13.5" thickBot="1" x14ac:dyDescent="0.25">
      <c r="A120" s="20" t="s">
        <v>120</v>
      </c>
      <c r="B120" s="20"/>
      <c r="C120" s="32">
        <v>43374</v>
      </c>
      <c r="D120" s="110"/>
    </row>
    <row r="121" spans="1:5" ht="13.5" thickBot="1" x14ac:dyDescent="0.25">
      <c r="D121" s="20"/>
      <c r="E121" s="20"/>
    </row>
    <row r="122" spans="1:5" ht="13.5" thickBot="1" x14ac:dyDescent="0.25">
      <c r="A122" s="14" t="s">
        <v>138</v>
      </c>
      <c r="B122" s="92">
        <f>ESCALATION_FACTORS!$B$4</f>
        <v>42551</v>
      </c>
      <c r="C122" s="101">
        <f>VLOOKUP($C$118,ESCALATION_FACTORS!$A$5:$E$9,2,)</f>
        <v>2.5000000000000001E-2</v>
      </c>
      <c r="D122" s="19"/>
    </row>
    <row r="123" spans="1:5" s="19" customFormat="1" ht="13.5" thickBot="1" x14ac:dyDescent="0.25">
      <c r="A123" s="20"/>
      <c r="B123" s="92">
        <f>ESCALATION_FACTORS!$C$4</f>
        <v>42916</v>
      </c>
      <c r="C123" s="101">
        <f>VLOOKUP($C$118,ESCALATION_FACTORS!$A$5:$E$9,3,)</f>
        <v>2.5000000000000001E-2</v>
      </c>
      <c r="D123" s="20"/>
      <c r="E123" s="20"/>
    </row>
    <row r="124" spans="1:5" s="19" customFormat="1" ht="13.5" thickBot="1" x14ac:dyDescent="0.25">
      <c r="A124" s="20"/>
      <c r="B124" s="92">
        <f>ESCALATION_FACTORS!$D$4</f>
        <v>43281</v>
      </c>
      <c r="C124" s="101">
        <f>VLOOKUP($C$118,ESCALATION_FACTORS!$A$5:$E$9,4,)</f>
        <v>2.5000000000000001E-2</v>
      </c>
      <c r="D124" s="20"/>
      <c r="E124" s="20"/>
    </row>
    <row r="125" spans="1:5" s="19" customFormat="1" ht="13.5" thickBot="1" x14ac:dyDescent="0.25">
      <c r="A125" s="9"/>
      <c r="B125" s="92">
        <f>ESCALATION_FACTORS!$E$4</f>
        <v>43646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 x14ac:dyDescent="0.25">
      <c r="A126" s="20"/>
      <c r="B126" s="20"/>
      <c r="C126" s="20"/>
      <c r="D126" s="20"/>
      <c r="E126" s="20"/>
    </row>
    <row r="127" spans="1:5" s="19" customFormat="1" ht="13.5" thickBot="1" x14ac:dyDescent="0.25">
      <c r="A127" s="20" t="s">
        <v>115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MRCP_Calculation!B16</f>
        <v>4641.1034198200014</v>
      </c>
      <c r="D127" s="9" t="s">
        <v>54</v>
      </c>
    </row>
    <row r="128" spans="1:5" x14ac:dyDescent="0.2">
      <c r="A128" s="19"/>
      <c r="B128" s="19"/>
      <c r="C128" s="19"/>
      <c r="D128" s="19"/>
    </row>
    <row r="129" spans="1:6" ht="13.5" thickBot="1" x14ac:dyDescent="0.25"/>
    <row r="130" spans="1:6" ht="18.75" thickBot="1" x14ac:dyDescent="0.3">
      <c r="A130" s="6" t="s">
        <v>112</v>
      </c>
      <c r="B130" s="46"/>
      <c r="C130" s="10"/>
    </row>
    <row r="131" spans="1:6" ht="13.5" thickBot="1" x14ac:dyDescent="0.25">
      <c r="A131" s="19"/>
      <c r="B131" s="19"/>
      <c r="C131" s="19"/>
      <c r="D131" s="19"/>
    </row>
    <row r="132" spans="1:6" ht="13.5" thickBot="1" x14ac:dyDescent="0.25">
      <c r="A132" s="20" t="s">
        <v>70</v>
      </c>
      <c r="B132" s="21" t="s">
        <v>151</v>
      </c>
      <c r="C132" s="22"/>
    </row>
    <row r="133" spans="1:6" ht="13.5" thickBot="1" x14ac:dyDescent="0.25">
      <c r="A133" s="23" t="s">
        <v>77</v>
      </c>
      <c r="B133" s="129">
        <v>1.7700000000000001E-3</v>
      </c>
      <c r="C133" s="44">
        <f>B133*PC!$C$4*1000*365</f>
        <v>97230.525000000023</v>
      </c>
      <c r="D133" s="14"/>
    </row>
    <row r="134" spans="1:6" ht="13.5" thickBot="1" x14ac:dyDescent="0.25">
      <c r="A134" s="23" t="s">
        <v>78</v>
      </c>
      <c r="B134" s="129">
        <v>42.33137</v>
      </c>
      <c r="C134" s="99">
        <f>B134*365</f>
        <v>15450.950049999999</v>
      </c>
    </row>
    <row r="135" spans="1:6" ht="13.5" thickBot="1" x14ac:dyDescent="0.25">
      <c r="A135" s="23" t="s">
        <v>76</v>
      </c>
      <c r="B135" s="129">
        <v>2.614E-2</v>
      </c>
      <c r="C135" s="40">
        <f>B135*PC!$C$4*1000*365</f>
        <v>1435935.55</v>
      </c>
      <c r="D135" s="19"/>
    </row>
    <row r="136" spans="1:6" ht="13.5" thickBot="1" x14ac:dyDescent="0.25">
      <c r="A136" s="20" t="s">
        <v>71</v>
      </c>
      <c r="C136" s="100">
        <f>SUM(C133:C135)</f>
        <v>1548617.0250500001</v>
      </c>
      <c r="D136" s="19"/>
      <c r="F136" s="102"/>
    </row>
    <row r="137" spans="1:6" ht="13.5" thickBot="1" x14ac:dyDescent="0.25">
      <c r="A137" s="24" t="s">
        <v>68</v>
      </c>
      <c r="B137" s="20"/>
      <c r="C137" s="33" t="s">
        <v>67</v>
      </c>
      <c r="D137" s="19"/>
    </row>
    <row r="138" spans="1:6" s="19" customFormat="1" ht="13.5" thickBot="1" x14ac:dyDescent="0.25">
      <c r="A138" s="20" t="s">
        <v>119</v>
      </c>
      <c r="B138" s="20"/>
      <c r="C138" s="31">
        <v>42186</v>
      </c>
    </row>
    <row r="139" spans="1:6" s="19" customFormat="1" ht="13.5" thickBot="1" x14ac:dyDescent="0.25">
      <c r="A139" s="20" t="s">
        <v>120</v>
      </c>
      <c r="B139" s="20"/>
      <c r="C139" s="32">
        <v>43374</v>
      </c>
    </row>
    <row r="140" spans="1:6" ht="13.5" thickBot="1" x14ac:dyDescent="0.25">
      <c r="C140" s="20"/>
      <c r="D140" s="20"/>
    </row>
    <row r="141" spans="1:6" ht="13.5" thickBot="1" x14ac:dyDescent="0.25">
      <c r="A141" s="14" t="s">
        <v>138</v>
      </c>
      <c r="B141" s="92">
        <f>ESCALATION_FACTORS!$B$4</f>
        <v>42551</v>
      </c>
      <c r="C141" s="101">
        <f>VLOOKUP($C$137,ESCALATION_FACTORS!$A$5:$E$9,2,)</f>
        <v>2.5000000000000001E-2</v>
      </c>
    </row>
    <row r="142" spans="1:6" s="19" customFormat="1" ht="13.5" thickBot="1" x14ac:dyDescent="0.25">
      <c r="A142" s="20"/>
      <c r="B142" s="92">
        <f>ESCALATION_FACTORS!$C$4</f>
        <v>42916</v>
      </c>
      <c r="C142" s="101">
        <f>VLOOKUP($C$137,ESCALATION_FACTORS!$A$5:$E$9,3,)</f>
        <v>2.5000000000000001E-2</v>
      </c>
      <c r="D142" s="20"/>
    </row>
    <row r="143" spans="1:6" s="19" customFormat="1" ht="13.5" thickBot="1" x14ac:dyDescent="0.25">
      <c r="A143" s="20"/>
      <c r="B143" s="92">
        <f>ESCALATION_FACTORS!$D$4</f>
        <v>43281</v>
      </c>
      <c r="C143" s="101">
        <f>VLOOKUP($C$137,ESCALATION_FACTORS!$A$5:$E$9,4,)</f>
        <v>2.5000000000000001E-2</v>
      </c>
      <c r="D143" s="20"/>
    </row>
    <row r="144" spans="1:6" s="19" customFormat="1" ht="13.5" thickBot="1" x14ac:dyDescent="0.25">
      <c r="A144" s="9"/>
      <c r="B144" s="92">
        <f>ESCALATION_FACTORS!$E$4</f>
        <v>43646</v>
      </c>
      <c r="C144" s="101">
        <f>VLOOKUP($C$137,ESCALATION_FACTORS!$A$5:$E$9,5,)</f>
        <v>2.5000000000000001E-2</v>
      </c>
      <c r="D144" s="20"/>
    </row>
    <row r="145" spans="1:4" s="19" customFormat="1" ht="13.5" thickBot="1" x14ac:dyDescent="0.25">
      <c r="A145" s="20"/>
      <c r="B145" s="20"/>
      <c r="C145" s="20"/>
      <c r="D145" s="20"/>
    </row>
    <row r="146" spans="1:4" ht="13.5" thickBot="1" x14ac:dyDescent="0.25">
      <c r="A146" s="20" t="s">
        <v>72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MRCP_Calculation!B16</f>
        <v>11150.188454798408</v>
      </c>
      <c r="D146" s="9" t="s">
        <v>54</v>
      </c>
    </row>
    <row r="147" spans="1:4" x14ac:dyDescent="0.2">
      <c r="A147" s="19"/>
    </row>
    <row r="148" spans="1:4" ht="13.5" thickBot="1" x14ac:dyDescent="0.25">
      <c r="A148" s="26"/>
    </row>
    <row r="149" spans="1:4" ht="18.75" thickBot="1" x14ac:dyDescent="0.3">
      <c r="A149" s="152" t="s">
        <v>89</v>
      </c>
      <c r="B149" s="153"/>
      <c r="C149" s="35">
        <f>SUM($C102,$C68,$C34,$C127,C146)</f>
        <v>32622.537204646163</v>
      </c>
    </row>
    <row r="150" spans="1:4" x14ac:dyDescent="0.2">
      <c r="A150" s="24"/>
      <c r="B150" s="24"/>
    </row>
  </sheetData>
  <sheetProtection algorithmName="SHA-512" hashValue="XS1qkbBqbRSOJ4maiM5C1roY9YwBn8CeDMVH0OfINPtTACnb0iAKHgJxLvRdcesAtbk8ONd68zlY6PCY/ykOCg==" saltValue="PDgIPyKicFQD4PToabY0FQ==" spinCount="100000" sheet="1" objects="1" scenarios="1" formatCells="0" formatColumns="0" formatRows="0" autoFilter="0"/>
  <mergeCells count="1">
    <mergeCell ref="A149:B149"/>
  </mergeCells>
  <phoneticPr fontId="4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24"/>
  <sheetViews>
    <sheetView zoomScaleNormal="100" workbookViewId="0">
      <selection activeCell="A28" sqref="A28"/>
    </sheetView>
  </sheetViews>
  <sheetFormatPr defaultRowHeight="12.75" x14ac:dyDescent="0.2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32.85546875" style="64" bestFit="1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5" s="8" customFormat="1" ht="18.75" thickBot="1" x14ac:dyDescent="0.3">
      <c r="A1" s="6" t="s">
        <v>2</v>
      </c>
      <c r="B1" s="78"/>
      <c r="C1" s="78"/>
      <c r="D1" s="7"/>
    </row>
    <row r="2" spans="1:5" s="26" customFormat="1" ht="13.5" thickBot="1" x14ac:dyDescent="0.25">
      <c r="C2" s="19"/>
    </row>
    <row r="3" spans="1:5" ht="13.5" thickBot="1" x14ac:dyDescent="0.25">
      <c r="A3" s="36" t="s">
        <v>3</v>
      </c>
      <c r="B3" s="79" t="s">
        <v>122</v>
      </c>
      <c r="C3" s="79" t="s">
        <v>4</v>
      </c>
      <c r="D3" s="79" t="s">
        <v>21</v>
      </c>
    </row>
    <row r="4" spans="1:5" ht="13.5" thickBot="1" x14ac:dyDescent="0.25">
      <c r="A4" s="80" t="s">
        <v>12</v>
      </c>
      <c r="B4" s="80" t="s">
        <v>101</v>
      </c>
      <c r="C4" s="129">
        <v>2.75</v>
      </c>
      <c r="D4" s="23">
        <f>C4/100</f>
        <v>2.75E-2</v>
      </c>
      <c r="E4" s="23"/>
    </row>
    <row r="5" spans="1:5" ht="13.5" thickBot="1" x14ac:dyDescent="0.25">
      <c r="A5" s="80" t="s">
        <v>5</v>
      </c>
      <c r="B5" s="80" t="s">
        <v>101</v>
      </c>
      <c r="C5" s="129">
        <v>2.5</v>
      </c>
      <c r="D5" s="23">
        <f>C5/100</f>
        <v>2.5000000000000001E-2</v>
      </c>
      <c r="E5" s="23"/>
    </row>
    <row r="6" spans="1:5" ht="13.5" thickBot="1" x14ac:dyDescent="0.25">
      <c r="A6" s="80" t="s">
        <v>6</v>
      </c>
      <c r="B6" s="80" t="s">
        <v>101</v>
      </c>
      <c r="C6" s="130">
        <f>((1+C4/100)/(1+C5/100)-1)*100</f>
        <v>0.24390243902441266</v>
      </c>
      <c r="D6" s="23">
        <f>C6/100</f>
        <v>2.4390243902441266E-3</v>
      </c>
      <c r="E6" s="23"/>
    </row>
    <row r="7" spans="1:5" ht="13.5" thickBot="1" x14ac:dyDescent="0.25">
      <c r="A7" s="23" t="s">
        <v>13</v>
      </c>
      <c r="B7" s="23" t="s">
        <v>102</v>
      </c>
      <c r="C7" s="30">
        <v>6</v>
      </c>
      <c r="D7" s="23">
        <f>C7/100</f>
        <v>0.06</v>
      </c>
      <c r="E7" s="23"/>
    </row>
    <row r="8" spans="1:5" ht="13.5" thickBot="1" x14ac:dyDescent="0.25">
      <c r="A8" s="23" t="s">
        <v>7</v>
      </c>
      <c r="B8" s="23" t="s">
        <v>102</v>
      </c>
      <c r="C8" s="30">
        <v>0.5</v>
      </c>
      <c r="D8" s="23">
        <f>C8</f>
        <v>0.5</v>
      </c>
      <c r="E8" s="23"/>
    </row>
    <row r="9" spans="1:5" ht="13.5" thickBot="1" x14ac:dyDescent="0.25">
      <c r="A9" s="23" t="s">
        <v>8</v>
      </c>
      <c r="B9" s="23" t="s">
        <v>102</v>
      </c>
      <c r="C9" s="30">
        <v>0.83</v>
      </c>
      <c r="D9" s="23">
        <f>C9</f>
        <v>0.83</v>
      </c>
      <c r="E9" s="23"/>
    </row>
    <row r="10" spans="1:5" ht="13.5" thickBot="1" x14ac:dyDescent="0.25">
      <c r="A10" s="80" t="s">
        <v>103</v>
      </c>
      <c r="B10" s="23" t="s">
        <v>101</v>
      </c>
      <c r="C10" s="29">
        <v>1.9930000000000001</v>
      </c>
      <c r="D10" s="23">
        <f>C10/100</f>
        <v>1.993E-2</v>
      </c>
      <c r="E10" s="23"/>
    </row>
    <row r="11" spans="1:5" ht="13.5" thickBot="1" x14ac:dyDescent="0.25">
      <c r="A11" s="23" t="s">
        <v>107</v>
      </c>
      <c r="B11" s="23" t="s">
        <v>108</v>
      </c>
      <c r="C11" s="30">
        <v>0.125</v>
      </c>
      <c r="D11" s="23">
        <f>C11/100</f>
        <v>1.25E-3</v>
      </c>
      <c r="E11" s="23"/>
    </row>
    <row r="12" spans="1:5" ht="13.5" thickBot="1" x14ac:dyDescent="0.25">
      <c r="A12" s="23" t="s">
        <v>9</v>
      </c>
      <c r="B12" s="23" t="s">
        <v>101</v>
      </c>
      <c r="C12" s="29">
        <v>30</v>
      </c>
      <c r="D12" s="23">
        <f>C12/100</f>
        <v>0.3</v>
      </c>
      <c r="E12" s="23"/>
    </row>
    <row r="13" spans="1:5" ht="13.5" thickBot="1" x14ac:dyDescent="0.25">
      <c r="A13" s="23" t="s">
        <v>14</v>
      </c>
      <c r="B13" s="23" t="s">
        <v>102</v>
      </c>
      <c r="C13" s="30">
        <v>0.25</v>
      </c>
      <c r="D13" s="23">
        <f>C13</f>
        <v>0.25</v>
      </c>
      <c r="E13" s="23"/>
    </row>
    <row r="14" spans="1:5" ht="13.5" thickBot="1" x14ac:dyDescent="0.25">
      <c r="A14" s="23" t="s">
        <v>10</v>
      </c>
      <c r="B14" s="23" t="s">
        <v>102</v>
      </c>
      <c r="C14" s="30">
        <v>40</v>
      </c>
      <c r="D14" s="23">
        <f>C14/100</f>
        <v>0.4</v>
      </c>
      <c r="E14" s="23"/>
    </row>
    <row r="15" spans="1:5" ht="13.5" thickBot="1" x14ac:dyDescent="0.25">
      <c r="A15" s="23" t="s">
        <v>11</v>
      </c>
      <c r="B15" s="23" t="s">
        <v>102</v>
      </c>
      <c r="C15" s="30">
        <v>60</v>
      </c>
      <c r="D15" s="23">
        <f>C15/100</f>
        <v>0.6</v>
      </c>
      <c r="E15" s="23"/>
    </row>
    <row r="16" spans="1:5" ht="13.5" thickBot="1" x14ac:dyDescent="0.25">
      <c r="C16" s="81"/>
      <c r="E16" s="23"/>
    </row>
    <row r="17" spans="1:5" ht="13.5" thickBot="1" x14ac:dyDescent="0.25">
      <c r="A17" s="82" t="s">
        <v>27</v>
      </c>
      <c r="B17" s="83">
        <f>D4+D10+D11</f>
        <v>4.8680000000000001E-2</v>
      </c>
      <c r="E17" s="23"/>
    </row>
    <row r="18" spans="1:5" ht="13.5" thickBot="1" x14ac:dyDescent="0.25">
      <c r="A18" s="82" t="s">
        <v>26</v>
      </c>
      <c r="B18" s="84">
        <f>D4+(D9*D7)</f>
        <v>7.7299999999999994E-2</v>
      </c>
      <c r="E18" s="23"/>
    </row>
    <row r="19" spans="1:5" ht="13.5" thickBot="1" x14ac:dyDescent="0.25">
      <c r="A19" s="26"/>
      <c r="B19" s="80"/>
      <c r="E19" s="23"/>
    </row>
    <row r="20" spans="1:5" ht="13.5" thickBot="1" x14ac:dyDescent="0.25">
      <c r="A20" s="24" t="s">
        <v>29</v>
      </c>
      <c r="B20" s="84">
        <f>((1/(1-D12*(1-D13)))*(B18*D15))+(B17*D14)</f>
        <v>7.9317161290322583E-2</v>
      </c>
      <c r="E20" s="23"/>
    </row>
    <row r="21" spans="1:5" ht="13.5" thickBot="1" x14ac:dyDescent="0.25">
      <c r="A21" s="24" t="s">
        <v>28</v>
      </c>
      <c r="B21" s="85">
        <f>((1+B20)/(1+D5))-1</f>
        <v>5.2992352478363536E-2</v>
      </c>
      <c r="E21" s="23"/>
    </row>
    <row r="24" spans="1:5" x14ac:dyDescent="0.2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6"/>
  <sheetViews>
    <sheetView workbookViewId="0">
      <selection activeCell="C25" sqref="C25"/>
    </sheetView>
  </sheetViews>
  <sheetFormatPr defaultRowHeight="12.75" x14ac:dyDescent="0.2"/>
  <cols>
    <col min="1" max="1" width="32.7109375" style="9" bestFit="1" customWidth="1"/>
    <col min="2" max="2" width="15" style="9" customWidth="1"/>
    <col min="3" max="3" width="22.140625" style="9" bestFit="1" customWidth="1"/>
    <col min="4" max="4" width="9.140625" style="9"/>
    <col min="5" max="5" width="13.140625" style="9" bestFit="1" customWidth="1"/>
    <col min="6" max="16384" width="9.140625" style="9"/>
  </cols>
  <sheetData>
    <row r="1" spans="1:6" s="8" customFormat="1" ht="18.75" thickBot="1" x14ac:dyDescent="0.3">
      <c r="A1" s="6" t="s">
        <v>94</v>
      </c>
      <c r="B1" s="46"/>
      <c r="C1" s="7"/>
    </row>
    <row r="2" spans="1:6" ht="13.5" thickBot="1" x14ac:dyDescent="0.25"/>
    <row r="3" spans="1:6" ht="13.5" thickBot="1" x14ac:dyDescent="0.25">
      <c r="A3" s="142" t="s">
        <v>162</v>
      </c>
      <c r="C3" s="2">
        <v>117102988</v>
      </c>
    </row>
    <row r="4" spans="1:6" ht="13.5" thickBot="1" x14ac:dyDescent="0.25">
      <c r="A4" s="9" t="s">
        <v>30</v>
      </c>
      <c r="C4" s="3">
        <v>150.5</v>
      </c>
      <c r="D4" s="64"/>
    </row>
    <row r="5" spans="1:6" ht="13.5" thickBot="1" x14ac:dyDescent="0.25">
      <c r="C5" s="25"/>
    </row>
    <row r="6" spans="1:6" ht="13.5" thickBot="1" x14ac:dyDescent="0.25">
      <c r="A6" s="9" t="s">
        <v>31</v>
      </c>
      <c r="C6" s="43">
        <f>C3/C4</f>
        <v>778092.94352159463</v>
      </c>
    </row>
    <row r="7" spans="1:6" ht="13.5" thickBot="1" x14ac:dyDescent="0.25">
      <c r="C7" s="25"/>
    </row>
    <row r="8" spans="1:6" ht="13.5" thickBot="1" x14ac:dyDescent="0.25">
      <c r="A8" s="9" t="s">
        <v>68</v>
      </c>
      <c r="C8" s="33" t="s">
        <v>86</v>
      </c>
    </row>
    <row r="9" spans="1:6" s="19" customFormat="1" ht="13.5" thickBot="1" x14ac:dyDescent="0.25">
      <c r="A9" s="20" t="s">
        <v>119</v>
      </c>
      <c r="B9" s="20"/>
      <c r="C9" s="31">
        <v>42185</v>
      </c>
    </row>
    <row r="10" spans="1:6" s="19" customFormat="1" ht="13.5" thickBot="1" x14ac:dyDescent="0.25">
      <c r="A10" s="20" t="s">
        <v>120</v>
      </c>
      <c r="B10" s="20"/>
      <c r="C10" s="32">
        <v>43191</v>
      </c>
    </row>
    <row r="11" spans="1:6" ht="13.5" thickBot="1" x14ac:dyDescent="0.25">
      <c r="D11" s="20"/>
      <c r="E11" s="20"/>
    </row>
    <row r="12" spans="1:6" ht="13.5" thickBot="1" x14ac:dyDescent="0.25">
      <c r="A12" s="14" t="s">
        <v>138</v>
      </c>
      <c r="B12" s="92">
        <f>ESCALATION_FACTORS!$B$4</f>
        <v>42551</v>
      </c>
      <c r="C12" s="101">
        <f>VLOOKUP($C$8,ESCALATION_FACTORS!$A$5:$E$9,2,)</f>
        <v>3.8E-3</v>
      </c>
    </row>
    <row r="13" spans="1:6" ht="13.5" thickBot="1" x14ac:dyDescent="0.25">
      <c r="A13" s="20"/>
      <c r="B13" s="92">
        <f>ESCALATION_FACTORS!$C$4</f>
        <v>42916</v>
      </c>
      <c r="C13" s="101">
        <f>VLOOKUP($C$8,ESCALATION_FACTORS!$A$5:$E$9,3,)</f>
        <v>4.1599999999999998E-2</v>
      </c>
    </row>
    <row r="14" spans="1:6" ht="13.5" thickBot="1" x14ac:dyDescent="0.25">
      <c r="A14" s="20"/>
      <c r="B14" s="92">
        <f>ESCALATION_FACTORS!$D$4</f>
        <v>43281</v>
      </c>
      <c r="C14" s="101">
        <f>VLOOKUP($C$8,ESCALATION_FACTORS!$A$5:$E$9,4,)</f>
        <v>3.4799999999999998E-2</v>
      </c>
    </row>
    <row r="15" spans="1:6" s="19" customFormat="1" ht="13.5" thickBot="1" x14ac:dyDescent="0.25">
      <c r="A15" s="20"/>
      <c r="B15" s="20"/>
      <c r="C15" s="20"/>
      <c r="D15" s="20"/>
      <c r="E15" s="20"/>
    </row>
    <row r="16" spans="1:6" ht="13.5" thickBot="1" x14ac:dyDescent="0.25">
      <c r="A16" s="20" t="s">
        <v>94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834781.53192435787</v>
      </c>
      <c r="F16" s="144"/>
    </row>
  </sheetData>
  <sheetProtection algorithmName="SHA-512" hashValue="jAXZH3pnBqnNDgoVppniwbZ5Vo0+bLCSrWInUhTcwXbqqKHeHUA503uxTl+lgdWTIBhsPbBuiRCdWSSOx+gFCw==" saltValue="aVjAdQW3IvyehtZ4a1r32Q==" spinCount="100000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22" sqref="D22"/>
    </sheetView>
  </sheetViews>
  <sheetFormatPr defaultRowHeight="12.75" x14ac:dyDescent="0.2"/>
  <cols>
    <col min="1" max="1" width="32.7109375" style="9" bestFit="1" customWidth="1"/>
    <col min="2" max="16384" width="9.140625" style="9"/>
  </cols>
  <sheetData>
    <row r="1" spans="1:2" s="8" customFormat="1" ht="18.75" thickBot="1" x14ac:dyDescent="0.3">
      <c r="A1" s="6" t="s">
        <v>17</v>
      </c>
      <c r="B1" s="7"/>
    </row>
    <row r="2" spans="1:2" ht="13.5" thickBot="1" x14ac:dyDescent="0.25"/>
    <row r="3" spans="1:2" ht="13.5" thickBot="1" x14ac:dyDescent="0.25">
      <c r="A3" s="14" t="s">
        <v>32</v>
      </c>
      <c r="B3" s="128">
        <v>0.2</v>
      </c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1"/>
  <sheetViews>
    <sheetView zoomScaleNormal="100" workbookViewId="0">
      <selection activeCell="D25" sqref="D25"/>
    </sheetView>
  </sheetViews>
  <sheetFormatPr defaultRowHeight="12.75" x14ac:dyDescent="0.2"/>
  <cols>
    <col min="1" max="1" width="31.28515625" style="9" customWidth="1"/>
    <col min="2" max="2" width="30.5703125" style="9" customWidth="1"/>
    <col min="3" max="16384" width="9.140625" style="9"/>
  </cols>
  <sheetData>
    <row r="1" spans="1:4" s="19" customFormat="1" ht="18.75" thickBot="1" x14ac:dyDescent="0.3">
      <c r="A1" s="6" t="s">
        <v>139</v>
      </c>
      <c r="B1" s="27"/>
      <c r="D1" s="26"/>
    </row>
    <row r="2" spans="1:4" ht="13.5" customHeight="1" thickBot="1" x14ac:dyDescent="0.25"/>
    <row r="3" spans="1:4" ht="13.5" thickBot="1" x14ac:dyDescent="0.25">
      <c r="A3" s="14" t="s">
        <v>110</v>
      </c>
      <c r="B3" s="131">
        <v>160280</v>
      </c>
    </row>
    <row r="4" spans="1:4" ht="13.5" thickBot="1" x14ac:dyDescent="0.25">
      <c r="A4" s="12"/>
    </row>
    <row r="5" spans="1:4" x14ac:dyDescent="0.2">
      <c r="A5" s="80" t="s">
        <v>109</v>
      </c>
      <c r="B5" s="34" t="s">
        <v>135</v>
      </c>
    </row>
    <row r="6" spans="1:4" s="19" customFormat="1" ht="13.5" thickBot="1" x14ac:dyDescent="0.25">
      <c r="A6" s="20" t="s">
        <v>119</v>
      </c>
      <c r="B6" s="32">
        <v>43191</v>
      </c>
    </row>
    <row r="7" spans="1:4" s="19" customFormat="1" ht="13.5" thickBot="1" x14ac:dyDescent="0.25">
      <c r="A7" s="20" t="s">
        <v>120</v>
      </c>
      <c r="B7" s="32">
        <v>43191</v>
      </c>
    </row>
    <row r="8" spans="1:4" ht="13.5" thickBot="1" x14ac:dyDescent="0.25">
      <c r="C8" s="20"/>
      <c r="D8" s="20"/>
    </row>
    <row r="9" spans="1:4" ht="13.5" thickBot="1" x14ac:dyDescent="0.25">
      <c r="A9" s="93" t="s">
        <v>69</v>
      </c>
      <c r="B9" s="94">
        <f>VLOOKUP(B5,ESCALATION_FACTORS!$A$5:$E$9,2,)</f>
        <v>-2.2200000000000001E-2</v>
      </c>
    </row>
    <row r="10" spans="1:4" ht="13.5" thickBot="1" x14ac:dyDescent="0.25"/>
    <row r="11" spans="1:4" ht="13.5" thickBot="1" x14ac:dyDescent="0.25">
      <c r="A11" s="14" t="s">
        <v>95</v>
      </c>
      <c r="B11" s="35">
        <f>B3*(1+B9)^((B7-B6)/365)</f>
        <v>160280</v>
      </c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workbookViewId="0">
      <selection activeCell="D17" sqref="D17"/>
    </sheetView>
  </sheetViews>
  <sheetFormatPr defaultRowHeight="12.75" x14ac:dyDescent="0.2"/>
  <cols>
    <col min="1" max="1" width="53" style="9" bestFit="1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 x14ac:dyDescent="0.3">
      <c r="A1" s="152" t="s">
        <v>97</v>
      </c>
      <c r="B1" s="154"/>
      <c r="C1" s="153"/>
    </row>
    <row r="3" spans="1:7" x14ac:dyDescent="0.2">
      <c r="A3" s="64" t="s">
        <v>117</v>
      </c>
    </row>
    <row r="4" spans="1:7" ht="13.5" thickBot="1" x14ac:dyDescent="0.25"/>
    <row r="5" spans="1:7" ht="13.5" thickBot="1" x14ac:dyDescent="0.25">
      <c r="A5" s="19" t="s">
        <v>158</v>
      </c>
      <c r="C5" s="127">
        <v>6056100</v>
      </c>
    </row>
    <row r="6" spans="1:7" ht="31.5" customHeight="1" thickBot="1" x14ac:dyDescent="0.25">
      <c r="A6" s="117" t="s">
        <v>116</v>
      </c>
      <c r="C6" s="143">
        <v>600300</v>
      </c>
      <c r="D6" s="17"/>
      <c r="F6" s="17"/>
      <c r="G6" s="17"/>
    </row>
    <row r="7" spans="1:7" ht="13.5" thickBot="1" x14ac:dyDescent="0.25">
      <c r="C7" s="17"/>
    </row>
    <row r="8" spans="1:7" ht="13.5" thickBot="1" x14ac:dyDescent="0.25">
      <c r="A8" s="14" t="s">
        <v>121</v>
      </c>
      <c r="C8" s="87">
        <f>SUM(C5:C6)</f>
        <v>6656400</v>
      </c>
    </row>
    <row r="9" spans="1:7" s="19" customFormat="1" ht="13.5" thickBot="1" x14ac:dyDescent="0.25">
      <c r="A9" s="20"/>
      <c r="B9" s="20"/>
      <c r="C9" s="20"/>
      <c r="D9" s="20"/>
    </row>
    <row r="10" spans="1:7" ht="13.5" thickBot="1" x14ac:dyDescent="0.25">
      <c r="A10" s="14" t="s">
        <v>68</v>
      </c>
      <c r="C10" s="33" t="s">
        <v>67</v>
      </c>
    </row>
    <row r="11" spans="1:7" s="19" customFormat="1" ht="13.5" thickBot="1" x14ac:dyDescent="0.25">
      <c r="A11" s="20" t="s">
        <v>119</v>
      </c>
      <c r="C11" s="31">
        <v>42185</v>
      </c>
    </row>
    <row r="12" spans="1:7" s="19" customFormat="1" ht="13.5" thickBot="1" x14ac:dyDescent="0.25">
      <c r="A12" s="20" t="s">
        <v>120</v>
      </c>
      <c r="C12" s="32">
        <v>43191</v>
      </c>
    </row>
    <row r="13" spans="1:7" ht="13.5" thickBot="1" x14ac:dyDescent="0.25">
      <c r="B13" s="20"/>
      <c r="D13" s="20"/>
    </row>
    <row r="14" spans="1:7" ht="13.5" thickBot="1" x14ac:dyDescent="0.25">
      <c r="A14" s="14" t="s">
        <v>138</v>
      </c>
      <c r="B14" s="92">
        <f>ESCALATION_FACTORS!$B$4</f>
        <v>42551</v>
      </c>
      <c r="C14" s="101">
        <f>VLOOKUP($C$10,ESCALATION_FACTORS!$A$5:$E$9,2,)</f>
        <v>2.5000000000000001E-2</v>
      </c>
    </row>
    <row r="15" spans="1:7" s="19" customFormat="1" ht="13.5" thickBot="1" x14ac:dyDescent="0.25">
      <c r="A15" s="20"/>
      <c r="B15" s="92">
        <f>ESCALATION_FACTORS!$C$4</f>
        <v>42916</v>
      </c>
      <c r="C15" s="101">
        <f>VLOOKUP($C$10,ESCALATION_FACTORS!$A$5:$E$9,3,)</f>
        <v>2.5000000000000001E-2</v>
      </c>
      <c r="D15" s="20"/>
    </row>
    <row r="16" spans="1:7" s="19" customFormat="1" ht="13.5" thickBot="1" x14ac:dyDescent="0.25">
      <c r="A16" s="20"/>
      <c r="B16" s="92">
        <f>ESCALATION_FACTORS!$D$4</f>
        <v>43281</v>
      </c>
      <c r="C16" s="101">
        <f>VLOOKUP($C$10,ESCALATION_FACTORS!$A$5:$E$9,4,)</f>
        <v>2.5000000000000001E-2</v>
      </c>
      <c r="D16" s="20"/>
    </row>
    <row r="17" spans="1:4" s="19" customFormat="1" ht="13.5" thickBot="1" x14ac:dyDescent="0.25">
      <c r="A17" s="20"/>
      <c r="B17" s="20"/>
      <c r="C17" s="20"/>
      <c r="D17" s="20"/>
    </row>
    <row r="18" spans="1:4" ht="13.5" thickBot="1" x14ac:dyDescent="0.25">
      <c r="A18" s="14" t="s">
        <v>97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7124703.0367416963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MRCP_Calculation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Street</dc:creator>
  <cp:lastModifiedBy>Ross Stottelaar</cp:lastModifiedBy>
  <cp:lastPrinted>2015-10-20T06:44:37Z</cp:lastPrinted>
  <dcterms:created xsi:type="dcterms:W3CDTF">2008-08-08T07:52:00Z</dcterms:created>
  <dcterms:modified xsi:type="dcterms:W3CDTF">2015-11-02T03:41:20Z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