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ThisWorkbook"/>
  <xr:revisionPtr revIDLastSave="0" documentId="13_ncr:1_{46372825-3FB4-4109-8191-630B8D08C2CC}" xr6:coauthVersionLast="45" xr6:coauthVersionMax="45" xr10:uidLastSave="{00000000-0000-0000-0000-000000000000}"/>
  <workbookProtection workbookAlgorithmName="SHA-512" workbookHashValue="NQ8en5niZFskhiAACAxjmUkX19FqS3USZaudXOlvzT61mHc7yWkrbIhsDgWN/KYKjAnXt8HBVFhn+GISELkgAg==" workbookSaltValue="L+LV5wtyYaE6gzEqOQgOng==" workbookSpinCount="100000" lockStructure="1"/>
  <bookViews>
    <workbookView xWindow="-108" yWindow="-108" windowWidth="23256" windowHeight="12720" tabRatio="914" firstSheet="4" activeTab="14" xr2:uid="{00000000-000D-0000-FFFF-FFFF00000000}"/>
  </bookViews>
  <sheets>
    <sheet name="README" sheetId="15" r:id="rId1"/>
    <sheet name="BRCP_Calculation" sheetId="1" r:id="rId2"/>
    <sheet name="ANNUALISED_CAP_COST" sheetId="3" r:id="rId3"/>
    <sheet name="ANNUALISED_FIXED_O&amp;M" sheetId="2" r:id="rId4"/>
    <sheet name="WACC" sheetId="4" r:id="rId5"/>
    <sheet name="PC" sheetId="5" r:id="rId6"/>
    <sheet name="M" sheetId="6" r:id="rId7"/>
    <sheet name="TC" sheetId="7" r:id="rId8"/>
    <sheet name="LC" sheetId="9" r:id="rId9"/>
    <sheet name="FFC" sheetId="8" r:id="rId10"/>
    <sheet name="ESCALATION_FACTORS" sheetId="12" r:id="rId11"/>
    <sheet name="WACC nominal risk free rate" sheetId="16" r:id="rId12"/>
    <sheet name="Graph historical bond yields" sheetId="20" r:id="rId13"/>
    <sheet name="WACC expected inflation" sheetId="17" r:id="rId14"/>
    <sheet name="BRCP chart" sheetId="18" r:id="rId15"/>
    <sheet name="BRCP chart breakdown" sheetId="19" r:id="rId16"/>
    <sheet name="Changes from previous BRCP" sheetId="21" r:id="rId17"/>
    <sheet name="Waterfall chart" sheetId="22" r:id="rId18"/>
  </sheets>
  <definedNames>
    <definedName name="_xlchart.v1.0" hidden="1">'Waterfall chart'!$H$2:$H$12</definedName>
    <definedName name="_xlchart.v1.1" hidden="1">'Waterfall chart'!$I$2:$I$12</definedName>
    <definedName name="_xlnm.Print_Area" localSheetId="3">'ANNUALISED_FIXED_O&amp;M'!$A$1:$X$152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B4" i="1" l="1"/>
  <c r="F38" i="21" l="1"/>
  <c r="I21" i="21"/>
  <c r="I35" i="21"/>
  <c r="I37" i="21"/>
  <c r="I38" i="21"/>
  <c r="I40" i="21"/>
  <c r="H21" i="21"/>
  <c r="H35" i="21"/>
  <c r="H37" i="21"/>
  <c r="H38" i="21"/>
  <c r="H40" i="21"/>
  <c r="G21" i="21"/>
  <c r="G35" i="21"/>
  <c r="G37" i="21"/>
  <c r="F37" i="21"/>
  <c r="E7" i="16" l="1"/>
  <c r="F7" i="16" s="1"/>
  <c r="E8" i="16"/>
  <c r="F8" i="16" s="1"/>
  <c r="E9" i="16"/>
  <c r="F9" i="16" s="1"/>
  <c r="E10" i="16"/>
  <c r="F10" i="16" s="1"/>
  <c r="E11" i="16"/>
  <c r="F11" i="16" s="1"/>
  <c r="E12" i="16"/>
  <c r="F12" i="16" s="1"/>
  <c r="E13" i="16"/>
  <c r="F13" i="16" s="1"/>
  <c r="E14" i="16"/>
  <c r="F14" i="16" s="1"/>
  <c r="E15" i="16"/>
  <c r="F15" i="16" s="1"/>
  <c r="E16" i="16"/>
  <c r="F16" i="16" s="1"/>
  <c r="E17" i="16"/>
  <c r="F17" i="16" s="1"/>
  <c r="E18" i="16"/>
  <c r="F18" i="16" s="1"/>
  <c r="E19" i="16"/>
  <c r="F19" i="16" s="1"/>
  <c r="E20" i="16"/>
  <c r="F20" i="16" s="1"/>
  <c r="E21" i="16"/>
  <c r="F21" i="16" s="1"/>
  <c r="E22" i="16"/>
  <c r="F22" i="16" s="1"/>
  <c r="E23" i="16"/>
  <c r="F23" i="16" s="1"/>
  <c r="E24" i="16"/>
  <c r="F24" i="16" s="1"/>
  <c r="E25" i="16"/>
  <c r="F25" i="16" s="1"/>
  <c r="E26" i="16"/>
  <c r="F26" i="16" s="1"/>
  <c r="E21" i="21" l="1"/>
  <c r="F21" i="21" s="1"/>
  <c r="E20" i="21"/>
  <c r="F20" i="21" l="1"/>
  <c r="H20" i="21"/>
  <c r="I20" i="21"/>
  <c r="G20" i="21"/>
  <c r="F2" i="22"/>
  <c r="E39" i="21" l="1"/>
  <c r="E35" i="21"/>
  <c r="F35" i="21" s="1"/>
  <c r="S6" i="19"/>
  <c r="S5" i="19"/>
  <c r="S4" i="19"/>
  <c r="G38" i="21"/>
  <c r="C13" i="21"/>
  <c r="C12" i="21"/>
  <c r="C11" i="21"/>
  <c r="C10" i="21"/>
  <c r="C9" i="21"/>
  <c r="C8" i="21"/>
  <c r="C7" i="21"/>
  <c r="C6" i="21"/>
  <c r="C5" i="21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K61" i="19"/>
  <c r="J61" i="19"/>
  <c r="I61" i="19"/>
  <c r="H61" i="19"/>
  <c r="G61" i="19"/>
  <c r="F61" i="19"/>
  <c r="E61" i="19"/>
  <c r="D61" i="19"/>
  <c r="Q60" i="19"/>
  <c r="P60" i="19"/>
  <c r="O60" i="19"/>
  <c r="N60" i="19"/>
  <c r="M60" i="19"/>
  <c r="L60" i="19"/>
  <c r="K60" i="19"/>
  <c r="J60" i="19"/>
  <c r="Q59" i="19"/>
  <c r="P59" i="19"/>
  <c r="O59" i="19"/>
  <c r="N59" i="19"/>
  <c r="M59" i="19"/>
  <c r="L59" i="19"/>
  <c r="K59" i="19"/>
  <c r="J59" i="19"/>
  <c r="Q58" i="19"/>
  <c r="P58" i="19"/>
  <c r="O58" i="19"/>
  <c r="N58" i="19"/>
  <c r="M58" i="19"/>
  <c r="L58" i="19"/>
  <c r="K58" i="19"/>
  <c r="J58" i="19"/>
  <c r="Q57" i="19"/>
  <c r="N57" i="19"/>
  <c r="M57" i="19"/>
  <c r="L57" i="19"/>
  <c r="K57" i="19"/>
  <c r="J57" i="19"/>
  <c r="Q56" i="19"/>
  <c r="N56" i="19"/>
  <c r="M56" i="19"/>
  <c r="L56" i="19"/>
  <c r="K56" i="19"/>
  <c r="J56" i="19"/>
  <c r="Q5" i="19"/>
  <c r="P57" i="19" s="1"/>
  <c r="P5" i="19"/>
  <c r="O57" i="19" s="1"/>
  <c r="M5" i="17"/>
  <c r="L5" i="17"/>
  <c r="K5" i="17"/>
  <c r="J5" i="17"/>
  <c r="I5" i="17"/>
  <c r="H5" i="17"/>
  <c r="G5" i="17"/>
  <c r="F5" i="17"/>
  <c r="D5" i="17"/>
  <c r="C5" i="17"/>
  <c r="E4" i="17"/>
  <c r="E5" i="17" s="1"/>
  <c r="D3" i="17"/>
  <c r="E3" i="17" s="1"/>
  <c r="F3" i="17" s="1"/>
  <c r="G3" i="17" s="1"/>
  <c r="H3" i="17" s="1"/>
  <c r="I3" i="17" s="1"/>
  <c r="J3" i="17" s="1"/>
  <c r="K3" i="17" s="1"/>
  <c r="L3" i="17" s="1"/>
  <c r="M3" i="17" s="1"/>
  <c r="D6" i="16"/>
  <c r="C6" i="16"/>
  <c r="G39" i="21" l="1"/>
  <c r="H39" i="21"/>
  <c r="I39" i="21"/>
  <c r="C7" i="17"/>
  <c r="C5" i="4" s="1"/>
  <c r="D5" i="21"/>
  <c r="F11" i="22"/>
  <c r="D10" i="21"/>
  <c r="F4" i="22"/>
  <c r="D11" i="21"/>
  <c r="F10" i="22"/>
  <c r="D12" i="21"/>
  <c r="F6" i="22"/>
  <c r="D13" i="21"/>
  <c r="F5" i="22"/>
  <c r="D6" i="21"/>
  <c r="F3" i="22"/>
  <c r="D8" i="21"/>
  <c r="F7" i="22"/>
  <c r="D7" i="21"/>
  <c r="F9" i="22"/>
  <c r="D9" i="21"/>
  <c r="F8" i="22"/>
  <c r="C14" i="21"/>
  <c r="D14" i="21" s="1"/>
  <c r="F28" i="16"/>
  <c r="C4" i="4" s="1"/>
  <c r="O56" i="19"/>
  <c r="P56" i="19"/>
  <c r="E33" i="21" l="1"/>
  <c r="F33" i="21" s="1"/>
  <c r="E32" i="21"/>
  <c r="D8" i="12"/>
  <c r="H33" i="21" l="1"/>
  <c r="G33" i="21"/>
  <c r="I33" i="21"/>
  <c r="F32" i="21"/>
  <c r="I32" i="21"/>
  <c r="H32" i="21"/>
  <c r="G32" i="21"/>
  <c r="C144" i="2"/>
  <c r="C143" i="2"/>
  <c r="C142" i="2"/>
  <c r="C141" i="2"/>
  <c r="B144" i="2"/>
  <c r="B143" i="2"/>
  <c r="B142" i="2"/>
  <c r="B141" i="2"/>
  <c r="C125" i="2"/>
  <c r="C124" i="2"/>
  <c r="C123" i="2"/>
  <c r="C122" i="2"/>
  <c r="B125" i="2"/>
  <c r="B124" i="2"/>
  <c r="B123" i="2"/>
  <c r="B122" i="2"/>
  <c r="C100" i="2" l="1"/>
  <c r="C99" i="2"/>
  <c r="C98" i="2"/>
  <c r="C97" i="2"/>
  <c r="B100" i="2"/>
  <c r="B99" i="2"/>
  <c r="B98" i="2"/>
  <c r="B97" i="2"/>
  <c r="C66" i="2"/>
  <c r="C65" i="2"/>
  <c r="C64" i="2"/>
  <c r="C63" i="2"/>
  <c r="B66" i="2"/>
  <c r="B65" i="2"/>
  <c r="B64" i="2"/>
  <c r="B63" i="2"/>
  <c r="C32" i="2"/>
  <c r="C31" i="2"/>
  <c r="C30" i="2"/>
  <c r="C29" i="2"/>
  <c r="B32" i="2"/>
  <c r="B31" i="2"/>
  <c r="B30" i="2"/>
  <c r="B29" i="2"/>
  <c r="B14" i="8" l="1"/>
  <c r="B15" i="8"/>
  <c r="B16" i="8"/>
  <c r="C14" i="5"/>
  <c r="C13" i="5"/>
  <c r="C12" i="5"/>
  <c r="B12" i="5"/>
  <c r="B13" i="5"/>
  <c r="B14" i="5"/>
  <c r="E20" i="9" l="1"/>
  <c r="E19" i="9"/>
  <c r="E18" i="9"/>
  <c r="B32" i="9"/>
  <c r="E36" i="21" s="1"/>
  <c r="H36" i="21" l="1"/>
  <c r="I36" i="21"/>
  <c r="G36" i="21"/>
  <c r="F36" i="21"/>
  <c r="D20" i="9"/>
  <c r="D19" i="9"/>
  <c r="D18" i="9"/>
  <c r="D4" i="4" l="1"/>
  <c r="C6" i="4"/>
  <c r="E34" i="21" s="1"/>
  <c r="F34" i="21" l="1"/>
  <c r="H34" i="21"/>
  <c r="I34" i="21"/>
  <c r="G34" i="21"/>
  <c r="B109" i="2"/>
  <c r="E8" i="9" l="1"/>
  <c r="E11" i="9"/>
  <c r="B16" i="1" l="1"/>
  <c r="D6" i="4" l="1"/>
  <c r="M87" i="2"/>
  <c r="N87" i="2" s="1"/>
  <c r="B9" i="3"/>
  <c r="E6" i="9"/>
  <c r="E7" i="9"/>
  <c r="E9" i="9"/>
  <c r="E10" i="9"/>
  <c r="E5" i="9"/>
  <c r="H87" i="2"/>
  <c r="I87" i="2" s="1"/>
  <c r="J87" i="2" s="1"/>
  <c r="M53" i="2"/>
  <c r="N53" i="2" s="1"/>
  <c r="H53" i="2"/>
  <c r="I53" i="2" s="1"/>
  <c r="H19" i="2"/>
  <c r="I19" i="2" s="1"/>
  <c r="D17" i="2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C8" i="8"/>
  <c r="C14" i="8"/>
  <c r="C15" i="8"/>
  <c r="C16" i="8"/>
  <c r="B9" i="7"/>
  <c r="B11" i="7" s="1"/>
  <c r="E22" i="21" s="1"/>
  <c r="C6" i="5"/>
  <c r="D5" i="4"/>
  <c r="D7" i="4"/>
  <c r="D8" i="4"/>
  <c r="D9" i="4"/>
  <c r="D10" i="4"/>
  <c r="D11" i="4"/>
  <c r="D12" i="4"/>
  <c r="D13" i="4"/>
  <c r="D14" i="4"/>
  <c r="D15" i="4"/>
  <c r="D18" i="2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C19" i="2"/>
  <c r="D19" i="2" s="1"/>
  <c r="M19" i="2"/>
  <c r="D51" i="2"/>
  <c r="E51" i="2" s="1"/>
  <c r="F51" i="2" s="1"/>
  <c r="G51" i="2" s="1"/>
  <c r="H51" i="2" s="1"/>
  <c r="I51" i="2" s="1"/>
  <c r="J51" i="2" s="1"/>
  <c r="K51" i="2" s="1"/>
  <c r="L51" i="2" s="1"/>
  <c r="M51" i="2" s="1"/>
  <c r="N51" i="2" s="1"/>
  <c r="O51" i="2" s="1"/>
  <c r="P51" i="2" s="1"/>
  <c r="Q51" i="2" s="1"/>
  <c r="D52" i="2"/>
  <c r="E52" i="2" s="1"/>
  <c r="F52" i="2" s="1"/>
  <c r="G52" i="2" s="1"/>
  <c r="H52" i="2" s="1"/>
  <c r="I52" i="2" s="1"/>
  <c r="J52" i="2" s="1"/>
  <c r="K52" i="2" s="1"/>
  <c r="L52" i="2" s="1"/>
  <c r="M52" i="2" s="1"/>
  <c r="N52" i="2" s="1"/>
  <c r="O52" i="2" s="1"/>
  <c r="P52" i="2" s="1"/>
  <c r="Q52" i="2" s="1"/>
  <c r="C53" i="2"/>
  <c r="D85" i="2"/>
  <c r="E85" i="2" s="1"/>
  <c r="F85" i="2" s="1"/>
  <c r="G85" i="2" s="1"/>
  <c r="H85" i="2" s="1"/>
  <c r="I85" i="2" s="1"/>
  <c r="J85" i="2" s="1"/>
  <c r="K85" i="2" s="1"/>
  <c r="L85" i="2" s="1"/>
  <c r="M85" i="2" s="1"/>
  <c r="N85" i="2" s="1"/>
  <c r="O85" i="2" s="1"/>
  <c r="P85" i="2" s="1"/>
  <c r="Q85" i="2" s="1"/>
  <c r="D86" i="2"/>
  <c r="E86" i="2"/>
  <c r="F86" i="2" s="1"/>
  <c r="G86" i="2" s="1"/>
  <c r="H86" i="2" s="1"/>
  <c r="C87" i="2"/>
  <c r="C88" i="2" s="1"/>
  <c r="C133" i="2"/>
  <c r="C134" i="2"/>
  <c r="C135" i="2"/>
  <c r="B6" i="3"/>
  <c r="F22" i="21" l="1"/>
  <c r="I22" i="21"/>
  <c r="H22" i="21"/>
  <c r="G22" i="21"/>
  <c r="B17" i="4"/>
  <c r="B18" i="4"/>
  <c r="B12" i="3"/>
  <c r="S7" i="19"/>
  <c r="E12" i="9"/>
  <c r="B29" i="9" s="1"/>
  <c r="C115" i="2"/>
  <c r="D87" i="2"/>
  <c r="D88" i="2" s="1"/>
  <c r="E19" i="2"/>
  <c r="D20" i="2"/>
  <c r="I86" i="2"/>
  <c r="J86" i="2" s="1"/>
  <c r="K86" i="2" s="1"/>
  <c r="L86" i="2" s="1"/>
  <c r="M86" i="2" s="1"/>
  <c r="N86" i="2" s="1"/>
  <c r="O86" i="2" s="1"/>
  <c r="P86" i="2" s="1"/>
  <c r="Q86" i="2" s="1"/>
  <c r="H88" i="2"/>
  <c r="C20" i="2"/>
  <c r="D53" i="2"/>
  <c r="D54" i="2" s="1"/>
  <c r="C54" i="2"/>
  <c r="M20" i="2"/>
  <c r="H20" i="2"/>
  <c r="I20" i="2"/>
  <c r="N54" i="2"/>
  <c r="O53" i="2"/>
  <c r="P53" i="2" s="1"/>
  <c r="P54" i="2" s="1"/>
  <c r="M54" i="2"/>
  <c r="J53" i="2"/>
  <c r="J54" i="2" s="1"/>
  <c r="I54" i="2"/>
  <c r="H54" i="2"/>
  <c r="N19" i="2"/>
  <c r="J19" i="2"/>
  <c r="C136" i="2"/>
  <c r="C146" i="2" s="1"/>
  <c r="E31" i="21" s="1"/>
  <c r="C16" i="5"/>
  <c r="C18" i="8"/>
  <c r="E23" i="21" s="1"/>
  <c r="K87" i="2"/>
  <c r="O87" i="2"/>
  <c r="E87" i="2"/>
  <c r="E88" i="2" s="1"/>
  <c r="F23" i="21" l="1"/>
  <c r="I23" i="21"/>
  <c r="G23" i="21"/>
  <c r="H23" i="21"/>
  <c r="F31" i="21"/>
  <c r="G31" i="21"/>
  <c r="I31" i="21"/>
  <c r="H31" i="21"/>
  <c r="B20" i="4"/>
  <c r="B15" i="3"/>
  <c r="S8" i="19"/>
  <c r="Q53" i="2"/>
  <c r="Q54" i="2" s="1"/>
  <c r="O54" i="2"/>
  <c r="N88" i="2"/>
  <c r="J88" i="2"/>
  <c r="I88" i="2"/>
  <c r="M88" i="2"/>
  <c r="B3" i="3"/>
  <c r="B106" i="2"/>
  <c r="E53" i="2"/>
  <c r="E54" i="2" s="1"/>
  <c r="B30" i="9"/>
  <c r="B31" i="9" s="1"/>
  <c r="K53" i="2"/>
  <c r="K54" i="2" s="1"/>
  <c r="E20" i="2"/>
  <c r="F19" i="2"/>
  <c r="O19" i="2"/>
  <c r="N20" i="2"/>
  <c r="K19" i="2"/>
  <c r="J20" i="2"/>
  <c r="B107" i="2"/>
  <c r="E22" i="9"/>
  <c r="E24" i="21" s="1"/>
  <c r="O88" i="2"/>
  <c r="P87" i="2"/>
  <c r="L87" i="2"/>
  <c r="L88" i="2" s="1"/>
  <c r="K88" i="2"/>
  <c r="F87" i="2"/>
  <c r="B21" i="4" l="1"/>
  <c r="C21" i="2"/>
  <c r="C22" i="2" s="1"/>
  <c r="C55" i="2"/>
  <c r="D55" i="2" s="1"/>
  <c r="E55" i="2" s="1"/>
  <c r="C89" i="2"/>
  <c r="C90" i="2" s="1"/>
  <c r="F24" i="21"/>
  <c r="G24" i="21"/>
  <c r="I24" i="21"/>
  <c r="H24" i="21"/>
  <c r="E25" i="21"/>
  <c r="B21" i="3"/>
  <c r="B26" i="3"/>
  <c r="B18" i="3"/>
  <c r="S9" i="19"/>
  <c r="L53" i="2"/>
  <c r="L54" i="2" s="1"/>
  <c r="F53" i="2"/>
  <c r="C111" i="2"/>
  <c r="F20" i="2"/>
  <c r="G19" i="2"/>
  <c r="G20" i="2" s="1"/>
  <c r="P19" i="2"/>
  <c r="O20" i="2"/>
  <c r="K20" i="2"/>
  <c r="L19" i="2"/>
  <c r="L20" i="2" s="1"/>
  <c r="P88" i="2"/>
  <c r="Q87" i="2"/>
  <c r="Q88" i="2" s="1"/>
  <c r="F88" i="2"/>
  <c r="G87" i="2"/>
  <c r="G88" i="2" s="1"/>
  <c r="G53" i="2"/>
  <c r="G54" i="2" s="1"/>
  <c r="F54" i="2"/>
  <c r="F25" i="21" l="1"/>
  <c r="I25" i="21"/>
  <c r="H25" i="21"/>
  <c r="G25" i="21"/>
  <c r="B24" i="3"/>
  <c r="B28" i="3" s="1"/>
  <c r="D89" i="2"/>
  <c r="D90" i="2" s="1"/>
  <c r="D21" i="2"/>
  <c r="D22" i="2" s="1"/>
  <c r="D56" i="2"/>
  <c r="C56" i="2"/>
  <c r="P20" i="2"/>
  <c r="Q19" i="2"/>
  <c r="Q20" i="2" s="1"/>
  <c r="F55" i="2"/>
  <c r="E56" i="2"/>
  <c r="E26" i="21" l="1"/>
  <c r="F26" i="21" s="1"/>
  <c r="S11" i="19"/>
  <c r="R60" i="19" s="1"/>
  <c r="E19" i="21"/>
  <c r="B13" i="1"/>
  <c r="E89" i="2"/>
  <c r="E90" i="2" s="1"/>
  <c r="E21" i="2"/>
  <c r="F21" i="2" s="1"/>
  <c r="F22" i="2" s="1"/>
  <c r="F56" i="2"/>
  <c r="G55" i="2"/>
  <c r="I26" i="21" l="1"/>
  <c r="G26" i="21"/>
  <c r="H26" i="21"/>
  <c r="F19" i="21"/>
  <c r="H19" i="21"/>
  <c r="G19" i="21"/>
  <c r="I19" i="21"/>
  <c r="R57" i="19"/>
  <c r="R59" i="19"/>
  <c r="R56" i="19"/>
  <c r="F89" i="2"/>
  <c r="G89" i="2" s="1"/>
  <c r="G90" i="2" s="1"/>
  <c r="G21" i="2"/>
  <c r="H21" i="2" s="1"/>
  <c r="E22" i="2"/>
  <c r="G56" i="2"/>
  <c r="H55" i="2"/>
  <c r="H89" i="2" l="1"/>
  <c r="H90" i="2" s="1"/>
  <c r="G22" i="2"/>
  <c r="F90" i="2"/>
  <c r="H22" i="2"/>
  <c r="I21" i="2"/>
  <c r="I55" i="2"/>
  <c r="H56" i="2"/>
  <c r="I89" i="2" l="1"/>
  <c r="J89" i="2" s="1"/>
  <c r="J21" i="2"/>
  <c r="I22" i="2"/>
  <c r="J55" i="2"/>
  <c r="I56" i="2"/>
  <c r="I90" i="2" l="1"/>
  <c r="K89" i="2"/>
  <c r="J90" i="2"/>
  <c r="K55" i="2"/>
  <c r="J56" i="2"/>
  <c r="J22" i="2"/>
  <c r="K21" i="2"/>
  <c r="L21" i="2" l="1"/>
  <c r="K22" i="2"/>
  <c r="L55" i="2"/>
  <c r="K56" i="2"/>
  <c r="L89" i="2"/>
  <c r="K90" i="2"/>
  <c r="M55" i="2" l="1"/>
  <c r="L56" i="2"/>
  <c r="M89" i="2"/>
  <c r="L90" i="2"/>
  <c r="M21" i="2"/>
  <c r="L22" i="2"/>
  <c r="M90" i="2" l="1"/>
  <c r="N89" i="2"/>
  <c r="M22" i="2"/>
  <c r="N21" i="2"/>
  <c r="N55" i="2"/>
  <c r="M56" i="2"/>
  <c r="O55" i="2" l="1"/>
  <c r="N56" i="2"/>
  <c r="N22" i="2"/>
  <c r="O21" i="2"/>
  <c r="N90" i="2"/>
  <c r="O89" i="2"/>
  <c r="O56" i="2" l="1"/>
  <c r="P55" i="2"/>
  <c r="P21" i="2"/>
  <c r="O22" i="2"/>
  <c r="O90" i="2"/>
  <c r="P89" i="2"/>
  <c r="P22" i="2" l="1"/>
  <c r="Q21" i="2"/>
  <c r="Q22" i="2" s="1"/>
  <c r="P90" i="2"/>
  <c r="Q89" i="2"/>
  <c r="Q90" i="2" s="1"/>
  <c r="Q55" i="2"/>
  <c r="Q56" i="2" s="1"/>
  <c r="P56" i="2"/>
  <c r="C91" i="2" l="1"/>
  <c r="C57" i="2"/>
  <c r="C58" i="2" s="1"/>
  <c r="C23" i="2"/>
  <c r="C24" i="2" s="1"/>
  <c r="C34" i="2" s="1"/>
  <c r="E27" i="21" s="1"/>
  <c r="C68" i="2" l="1"/>
  <c r="E28" i="21" s="1"/>
  <c r="F27" i="21"/>
  <c r="I27" i="21"/>
  <c r="G27" i="21"/>
  <c r="H27" i="21"/>
  <c r="C92" i="2"/>
  <c r="C102" i="2" s="1"/>
  <c r="H28" i="21" l="1"/>
  <c r="I28" i="21"/>
  <c r="F28" i="21"/>
  <c r="G28" i="21"/>
  <c r="E29" i="21"/>
  <c r="F29" i="21" l="1"/>
  <c r="G29" i="21"/>
  <c r="H29" i="21"/>
  <c r="I29" i="21"/>
  <c r="E17" i="21"/>
  <c r="F17" i="21" s="1"/>
  <c r="I17" i="21"/>
  <c r="S13" i="19"/>
  <c r="R63" i="19" s="1"/>
  <c r="F12" i="22"/>
  <c r="E14" i="21"/>
  <c r="C113" i="2"/>
  <c r="C116" i="2" s="1"/>
  <c r="C127" i="2" s="1"/>
  <c r="C149" i="2" l="1"/>
  <c r="E30" i="21"/>
  <c r="H17" i="21"/>
  <c r="G17" i="21"/>
  <c r="G30" i="21" l="1"/>
  <c r="H30" i="21"/>
  <c r="F30" i="21"/>
  <c r="I30" i="21"/>
  <c r="E18" i="21"/>
  <c r="S10" i="19"/>
  <c r="R58" i="19" s="1"/>
  <c r="B10" i="1"/>
  <c r="B3" i="1" s="1"/>
  <c r="D112" i="2" l="1"/>
  <c r="E112" i="2" s="1"/>
  <c r="H18" i="21"/>
  <c r="G18" i="21"/>
  <c r="F18" i="21"/>
  <c r="I18" i="21"/>
</calcChain>
</file>

<file path=xl/sharedStrings.xml><?xml version="1.0" encoding="utf-8"?>
<sst xmlns="http://schemas.openxmlformats.org/spreadsheetml/2006/main" count="482" uniqueCount="257">
  <si>
    <t>Weighted Average Cost of Capital (WACC)</t>
  </si>
  <si>
    <t>CAPM Parameter</t>
  </si>
  <si>
    <t>Value</t>
  </si>
  <si>
    <t>Expected Inflation (%)</t>
  </si>
  <si>
    <t>Real risk free rate of return (%)</t>
  </si>
  <si>
    <t>Asset beta</t>
  </si>
  <si>
    <t>Equity beta</t>
  </si>
  <si>
    <t>Corporate tax rate (%)</t>
  </si>
  <si>
    <t>Debt to total assets ratio (%)</t>
  </si>
  <si>
    <t>Equity to total assets ratio (%)</t>
  </si>
  <si>
    <t>Nominal Risk Free Rate of Return (%)</t>
  </si>
  <si>
    <t>Market Risk Premium (%)</t>
  </si>
  <si>
    <t>Franking credit value</t>
  </si>
  <si>
    <t>WACC</t>
  </si>
  <si>
    <t>Term of Finance (Years)</t>
  </si>
  <si>
    <t>M</t>
  </si>
  <si>
    <t>%</t>
  </si>
  <si>
    <t>MW</t>
  </si>
  <si>
    <t>Years</t>
  </si>
  <si>
    <t>Value (For Calculation)</t>
  </si>
  <si>
    <t>$AUD/MW</t>
  </si>
  <si>
    <t>$AUD</t>
  </si>
  <si>
    <t>$AUD/Year</t>
  </si>
  <si>
    <t>$AUD/MW/Year</t>
  </si>
  <si>
    <t>Nominal post-tax Cost of Equity (Nominal return on equity)</t>
  </si>
  <si>
    <t>Nominal pre-tax Cost of Debt (Nominal return on debt)</t>
  </si>
  <si>
    <t>WACC (Real)</t>
  </si>
  <si>
    <t>WACC (Nominal)</t>
  </si>
  <si>
    <t>Capacity (MW)</t>
  </si>
  <si>
    <t>Total Cost Per MW</t>
  </si>
  <si>
    <t>Total M as a percentage of CAPEX</t>
  </si>
  <si>
    <t>Generation</t>
  </si>
  <si>
    <t>Transmission</t>
  </si>
  <si>
    <t>6 to 10 years</t>
  </si>
  <si>
    <t>11 to 15 years</t>
  </si>
  <si>
    <t>1 to 5 years</t>
  </si>
  <si>
    <t>21 to 25 years</t>
  </si>
  <si>
    <t>26 to 30 years</t>
  </si>
  <si>
    <t>31 to 35 years</t>
  </si>
  <si>
    <t>36 to 40 years</t>
  </si>
  <si>
    <t>41 to 45 years</t>
  </si>
  <si>
    <t>46 to 50 years</t>
  </si>
  <si>
    <t>Year</t>
  </si>
  <si>
    <t>Year Factor</t>
  </si>
  <si>
    <t>Yearly Cost</t>
  </si>
  <si>
    <t>Present Value</t>
  </si>
  <si>
    <t>Total PV (Sum)</t>
  </si>
  <si>
    <t>Switchyard O&amp;M 5 Year Cost</t>
  </si>
  <si>
    <t>Cost Per MW Per Year</t>
  </si>
  <si>
    <t>Anuity</t>
  </si>
  <si>
    <t>51 to 55 years</t>
  </si>
  <si>
    <t>56 to 60 years</t>
  </si>
  <si>
    <t>Per MW Per Year</t>
  </si>
  <si>
    <t>Region</t>
  </si>
  <si>
    <t>Pinjar</t>
  </si>
  <si>
    <t>Kwinana</t>
  </si>
  <si>
    <t>Kemerton</t>
  </si>
  <si>
    <t>Collie</t>
  </si>
  <si>
    <t>Eneabba</t>
  </si>
  <si>
    <t>Kalgoorlie</t>
  </si>
  <si>
    <t>Land Area (Hectares)</t>
  </si>
  <si>
    <t>Geraldton</t>
  </si>
  <si>
    <t>Price Per Hectare</t>
  </si>
  <si>
    <t>Assessed Value</t>
  </si>
  <si>
    <t>ESCALATION FACTORS</t>
  </si>
  <si>
    <t>CPI</t>
  </si>
  <si>
    <t>Escalation Type</t>
  </si>
  <si>
    <t>Escalation</t>
  </si>
  <si>
    <t>Western Power Charges</t>
  </si>
  <si>
    <t>Total WP Charges</t>
  </si>
  <si>
    <t>Cost Per MW Per year</t>
  </si>
  <si>
    <t>Use of system Charge (unit price is $/kW/day)</t>
  </si>
  <si>
    <t>Control system service charge (unit price is $/kW/day)</t>
  </si>
  <si>
    <t>Transmission Metering  (unit price is $/meter/day)</t>
  </si>
  <si>
    <t>Throughout this spreadsheet, the following conventions apply:</t>
  </si>
  <si>
    <t xml:space="preserve">  * The green cells are input values.  These cells are editable to allow Market Participants to test the sensitivity of the various input values.</t>
  </si>
  <si>
    <t>The following worksheets contain input parameters:</t>
  </si>
  <si>
    <t xml:space="preserve">  * The ANNUALISED_CAP_COST sheet determines the annualised capital cost for the power station.</t>
  </si>
  <si>
    <t>Power_Station_Capital</t>
  </si>
  <si>
    <t>ANNUALISED_FIXED_O&amp;M</t>
  </si>
  <si>
    <t>Is the annualised fixed operating and maintenance costs for a typical open cycle gas turbine power station and any associated electricity transmission facilities determined in cluase 1.9 and expressed in Australian dollars in year t, per MW per year</t>
  </si>
  <si>
    <t>ANNUALISED_CAP_COST</t>
  </si>
  <si>
    <t>Is the CAPCOST, expressed in Australia dollars, annualised over a 15 year period, using a Weighted Average Cost of Capital (WACC) as determined in clause 1.13</t>
  </si>
  <si>
    <t>CC</t>
  </si>
  <si>
    <t>PC</t>
  </si>
  <si>
    <t>TC</t>
  </si>
  <si>
    <t>FFC</t>
  </si>
  <si>
    <t>LC</t>
  </si>
  <si>
    <t>CAP_COST</t>
  </si>
  <si>
    <t>where ANNUALISED_CAP_COST = -PMT(WACC,TERM,CAPCOST)</t>
  </si>
  <si>
    <t>Annual</t>
  </si>
  <si>
    <t>5- yearly</t>
  </si>
  <si>
    <t>Debt risk premium (%) , DRP (%)</t>
  </si>
  <si>
    <t>Average Cost</t>
  </si>
  <si>
    <t>16 to 20 years</t>
  </si>
  <si>
    <t>Debt Issuance Costs (%)</t>
  </si>
  <si>
    <t>5-yearly</t>
  </si>
  <si>
    <t>Escalation type</t>
  </si>
  <si>
    <t>Total Transmission Costs</t>
  </si>
  <si>
    <t>Generation_O&amp;M</t>
  </si>
  <si>
    <t>Fixed Network Access/ ongoing charges</t>
  </si>
  <si>
    <t>Asset Insurance Costs</t>
  </si>
  <si>
    <t>Yearly cost</t>
  </si>
  <si>
    <t>Cost per MW Per Year</t>
  </si>
  <si>
    <t>ITEM B - Fuel sufficient for 14 hours of operation at maximum capacity (litres * fuel price per litre)</t>
  </si>
  <si>
    <t xml:space="preserve">Fixed Fuel Costs </t>
  </si>
  <si>
    <t>is the expected Capacity Credit allocation determined @ 41DegC including inlet cooling</t>
  </si>
  <si>
    <t>Prices as at</t>
  </si>
  <si>
    <t>To be escalated to</t>
  </si>
  <si>
    <t>Total</t>
  </si>
  <si>
    <t>Review Frequency</t>
  </si>
  <si>
    <t>Margin to cover legal, approval, financing and other costs and contingencies as determined in step 1.12</t>
  </si>
  <si>
    <t>Capital cost of an open cycle gas turbine power station, expressed in Australian dollars per MW as determined in step 1.7 for that location</t>
  </si>
  <si>
    <t>is the expected Capacity Credit allocation determined in conjunction with Power Station costs in step 1.7.1 (b)</t>
  </si>
  <si>
    <t>is the Transmission Connection Cost Estimate, expressed in Australian dollars per MW, as determined in step 1.8</t>
  </si>
  <si>
    <t>is the Fixed Fuel Cost as determined in step 1.10</t>
  </si>
  <si>
    <t>is the Land Cost as determined in step 1.11</t>
  </si>
  <si>
    <t>Is the Weighted Average Cost of Capital as determined in step 1.13</t>
  </si>
  <si>
    <t>Asset replacement insurance</t>
  </si>
  <si>
    <t>Public and products liability insurance</t>
  </si>
  <si>
    <t>Business interruption insurance</t>
  </si>
  <si>
    <t>Connection_O&amp;M</t>
  </si>
  <si>
    <t>Transmission_Connection</t>
  </si>
  <si>
    <t>Financial year ending</t>
  </si>
  <si>
    <t>Escalation (Financial Year ending)</t>
  </si>
  <si>
    <t>TC (Western Power Costing)</t>
  </si>
  <si>
    <t xml:space="preserve">  * The TC sheet calculates the transmission connection cost from the parameters provided by Western Power.</t>
  </si>
  <si>
    <t xml:space="preserve">  * The LC sheet calculates the land cost from the costs provided by Landgate.</t>
  </si>
  <si>
    <t>Average Land Parcel Cost</t>
  </si>
  <si>
    <t>Average Land Cost</t>
  </si>
  <si>
    <t>Stamp Duty on Land Parcel</t>
  </si>
  <si>
    <t>Terrorism Levy Mark up</t>
  </si>
  <si>
    <t>Stamp Duty Mark up (also applies to Terrorism levy)</t>
  </si>
  <si>
    <t>Asset Replacement Insurance Percentage</t>
  </si>
  <si>
    <t>Fixed Fuel Costs</t>
  </si>
  <si>
    <t>values from the WP website</t>
  </si>
  <si>
    <t>Chk if Same to nearest $100?</t>
  </si>
  <si>
    <t>Total cost of Power Stn build</t>
  </si>
  <si>
    <t>Annual insurance site survey</t>
  </si>
  <si>
    <t>ITEM A - Sub total for facility installation</t>
  </si>
  <si>
    <t>Stamp duty calculator:</t>
  </si>
  <si>
    <t xml:space="preserve">  * The WACC sheet calculates the Weighted Average Cost of Capital from the DRP provided by Pricewaterhouse Coopers (PwC) and other WACC parameters calculated by AEMO.</t>
  </si>
  <si>
    <t xml:space="preserve">  * The ANNUALISED_FIXED_O&amp;M sheet calculates the annualised fixed O&amp;M cost from the costs provided by GHD, Western Power and AEMO.</t>
  </si>
  <si>
    <t xml:space="preserve">  * The PC sheet calculates the annualised power station capital cost from the costs provided by GHD.</t>
  </si>
  <si>
    <t xml:space="preserve">  * The M sheet contains the margin M for legal, financing and approval costs as provided by GHD.</t>
  </si>
  <si>
    <t xml:space="preserve">  * The FFC sheet calculates the fixed fuel cost from the costs provided by GHD.</t>
  </si>
  <si>
    <t xml:space="preserve">  * The ESCALATION_FACTORS sheet contains the various cost escalation factors provided by GHD and Western Power.</t>
  </si>
  <si>
    <t>AEMO Calculation Spreadsheet for Benchmark Reserve Capacity Price</t>
  </si>
  <si>
    <t>This spreadsheet performs the calculation of the Benchmark Reserve Capacity Price (BRCP). It has been published to improve the transparency of the BRCP determination for Market Participants.</t>
  </si>
  <si>
    <t>The following worksheets perform or display the calculations that lead to the BRCP:</t>
  </si>
  <si>
    <t xml:space="preserve">  * The BRCP_Calculation sheet displays the final BRCP equation and the various input values.</t>
  </si>
  <si>
    <t>GHD Total EPC Cost ($)</t>
  </si>
  <si>
    <t>BENCHMARK RESERVE CAPACITY PRICE</t>
  </si>
  <si>
    <t>BRCP =(ANNUALISED_FIXED_O&amp;M + ANNUALISED_CAP_COST / CC)</t>
  </si>
  <si>
    <t>BRCP</t>
  </si>
  <si>
    <t xml:space="preserve">The Benchmark Reserve Capacity Price to apply in a reserve Capacity Auction </t>
  </si>
  <si>
    <t>Estimated BRCP</t>
  </si>
  <si>
    <t>Total easement cost as at 30 June 2020</t>
  </si>
  <si>
    <t>Total easement cost as at 30 June 2021</t>
  </si>
  <si>
    <t>https://apps.osr.wa.gov.au/portal/0/home</t>
  </si>
  <si>
    <t>RBA Bond Yields</t>
  </si>
  <si>
    <t>Issue ID</t>
  </si>
  <si>
    <t>TB155</t>
  </si>
  <si>
    <t>TB160</t>
  </si>
  <si>
    <t>Maturity</t>
  </si>
  <si>
    <t>Date</t>
  </si>
  <si>
    <t>Date + 10 years</t>
  </si>
  <si>
    <t>Interpolated 10 year yield</t>
  </si>
  <si>
    <t xml:space="preserve">Nominal risk free rate  </t>
  </si>
  <si>
    <t>Year ending</t>
  </si>
  <si>
    <t>Growth rate</t>
  </si>
  <si>
    <t>Inflation i</t>
  </si>
  <si>
    <t>Capacity Year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</si>
  <si>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</si>
  <si>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</si>
  <si>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</si>
  <si>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</si>
  <si>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</si>
  <si>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</si>
  <si>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</si>
  <si>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</si>
  <si>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</si>
  <si>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</si>
  <si>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</si>
  <si>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</si>
  <si>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</si>
  <si>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</si>
  <si>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</si>
  <si>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</si>
  <si>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PC ($AUD/MW)</t>
  </si>
  <si>
    <t>LEGACY</t>
  </si>
  <si>
    <t>M (%)</t>
  </si>
  <si>
    <t>CC (MW)</t>
  </si>
  <si>
    <t>TC ($AUD/MW)</t>
  </si>
  <si>
    <t>FFC ($AUD)</t>
  </si>
  <si>
    <t>LC ($AUD)</t>
  </si>
  <si>
    <t>ANNUALISED_FIXED_O&amp;M ($AUD/Year)</t>
  </si>
  <si>
    <t>ANNUALISED_CAP_COST ($AUD/Year)</t>
  </si>
  <si>
    <t>RESERVE CAPACITY PRICE ($AUD/MW)</t>
  </si>
  <si>
    <t>Transmission cost (TC)</t>
  </si>
  <si>
    <t>Fixed O&amp;M cost</t>
  </si>
  <si>
    <t>Fixed fuel cost (FFC)</t>
  </si>
  <si>
    <t>Land cost (LC)</t>
  </si>
  <si>
    <t>Reserve Capacity Price</t>
  </si>
  <si>
    <t>Treasury Bond 155</t>
  </si>
  <si>
    <t>Treasury Bond 160</t>
  </si>
  <si>
    <t>Impact ($)</t>
  </si>
  <si>
    <t>Impact (%)</t>
  </si>
  <si>
    <t>BRCP ($)</t>
  </si>
  <si>
    <t>2020 BRCP</t>
  </si>
  <si>
    <t>Escalation factors</t>
  </si>
  <si>
    <t>Power station cost</t>
  </si>
  <si>
    <t>Margin M</t>
  </si>
  <si>
    <t>Fixed fuel cost</t>
  </si>
  <si>
    <t>Land cost</t>
  </si>
  <si>
    <t>Transmission cost</t>
  </si>
  <si>
    <t>CC allocation</t>
  </si>
  <si>
    <t>Fixed O&amp;M</t>
  </si>
  <si>
    <t>2021 BRCP</t>
  </si>
  <si>
    <t>2021 BRCP - draft</t>
  </si>
  <si>
    <t>Generation O&amp;M Costs</t>
  </si>
  <si>
    <t>Switchyard O&amp;M Costs</t>
  </si>
  <si>
    <t>Transmission Line O&amp;M Costs</t>
  </si>
  <si>
    <t>Nominal Risk Free Rate of Return</t>
  </si>
  <si>
    <t>Expected Inflation</t>
  </si>
  <si>
    <t>Real risk free rate of return</t>
  </si>
  <si>
    <t>Debt risk premium DRP</t>
  </si>
  <si>
    <t>Easement costs</t>
  </si>
  <si>
    <t>Shallow connection</t>
  </si>
  <si>
    <t>Diesel (c/L)</t>
  </si>
  <si>
    <t>Data for waterfall</t>
  </si>
  <si>
    <t>Escalation Factors</t>
  </si>
  <si>
    <t>Proposed 2021 BRCP</t>
  </si>
  <si>
    <t>Premium rate</t>
  </si>
  <si>
    <t xml:space="preserve"> = -PMT(B26,B27,((B3*(1+B6)+B12)*B9+B15+B18)*(1+B21)^0.5)</t>
  </si>
  <si>
    <t xml:space="preserve"> = -PMT(WACC,15,(PCx (1+M) + TC) x CC + FFC + LC) x (1+ WACC)^1/2)</t>
  </si>
  <si>
    <t xml:space="preserve"> =((1/(1-D12*(1-D13)))*(B18*D15))+(B17*D14)</t>
  </si>
  <si>
    <t>where WACC (Nominal) = ((1/(1-t*(1-γ)))*(Re*E/V))+(Rd*D/V)</t>
  </si>
  <si>
    <t>Difference between 
2020  BRCP  and 
2021 BRCP (final)</t>
  </si>
  <si>
    <t>Difference between 
2021 BRCP (draft) and 
2021 BRCP (final)</t>
  </si>
  <si>
    <t>draft BRCP ($)</t>
  </si>
  <si>
    <t>RBA Statement on Monetary Policy-November 2020</t>
  </si>
  <si>
    <r>
      <t>Power station cost (PC)</t>
    </r>
    <r>
      <rPr>
        <b/>
        <sz val="12"/>
        <rFont val="Calibri"/>
        <family val="2"/>
      </rPr>
      <t>*</t>
    </r>
  </si>
  <si>
    <t>Draft report for 2023-24</t>
  </si>
  <si>
    <t xml:space="preserve">  * The WACC nominal risk free rate calculates the nominal risk free rate from RBA bonds</t>
  </si>
  <si>
    <t xml:space="preserve">  * [Superseeded] The WACC expected inflation is calculated from RBA's CPI data</t>
  </si>
  <si>
    <t xml:space="preserve">  * Graph hystorical bond yields</t>
  </si>
  <si>
    <t xml:space="preserve">  * BRCP chart</t>
  </si>
  <si>
    <t xml:space="preserve">  * Changes from previous BRCP</t>
  </si>
  <si>
    <t>The following worksheets calculate and display information for reporting purposes:</t>
  </si>
  <si>
    <t xml:space="preserve">  * BRCP chart breakdown</t>
  </si>
  <si>
    <t xml:space="preserve">  * Waterfall chart</t>
  </si>
  <si>
    <t xml:space="preserve">Transmission Line O&amp;M Costs (GHD Five yearly aggregate fixed O&amp;M costs for transmission line asset  </t>
  </si>
  <si>
    <t>Switchyard O&amp;M Costs (GHD Five yearly aggregate fixed O&amp;M costs for switchyard assets</t>
  </si>
  <si>
    <t xml:space="preserve">Generation O&amp;M Costs (GHD Fixed O&amp;M cost for OCGT power plant ($2020) </t>
  </si>
  <si>
    <t>Actual BRCP</t>
  </si>
  <si>
    <t>BRCP (rounded to the nearest hundred)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</si>
</sst>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0.0%"/>
    <numFmt numFmtId="166" formatCode="&quot;$&quot;#,##0.000"/>
    <numFmt numFmtId="167" formatCode="d\-mmm\-yyyy"/>
    <numFmt numFmtId="168" formatCode="#,##0.0"/>
    <numFmt numFmtId="169" formatCode="0.000"/>
    <numFmt numFmtId="170" formatCode="[$-C09]dd\-mmm\-yy;@"/>
    <numFmt numFmtId="171" formatCode="dd\-mmm\-yyyy"/>
    <numFmt numFmtId="172" formatCode="#,##0.000"/>
    <numFmt numFmtId="173" formatCode="0.0000%"/>
    <numFmt numFmtId="174" formatCode="[$-C09]mmmm\ yyyy;@"/>
    <numFmt numFmtId="175" formatCode="_-* #,##0.000_-;\-* #,##0.000_-;_-* &quot;-&quot;??_-;_-@_-"/>
    <numFmt numFmtId="176" formatCode="_-* #,##0.0_-;\-* #,##0.0_-;_-* &quot;-&quot;??_-;_-@_-"/>
    <numFmt numFmtId="177" formatCode="_-&quot;$&quot;* #,##0_-;\-&quot;$&quot;* #,##0_-;_-&quot;$&quot;* &quot;-&quot;??_-;_-@_-"/>
    <numFmt numFmtId="178" formatCode="mmm\-yyyy"/>
    <numFmt numFmtId="179" formatCode="_-* #,##0_-;\-* #,##0_-;_-* &quot;-&quot;??_-;_-@_-"/>
    <numFmt numFmtId="180" formatCode="&quot;$&quot;#,##0.0"/>
    <numFmt numFmtId="181" formatCode="0.000000"/>
    <numFmt numFmtId="182" formatCode="0.0000"/>
    <numFmt numFmtId="183" formatCode="0.000000000"/>
    <numFmt numFmtId="184" formatCode="&quot;$&quot;#,##0"/>
    <numFmt numFmtId="185" formatCode="#,##0.0000"/>
  </numFmts>
  <fonts count="39" x14ac:knownFonts="1">
    <font>
      <sz val="10"/>
      <name val="Arial"/>
    </font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sz val="10"/>
      <color indexed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Tw Cen MT"/>
      <family val="2"/>
    </font>
    <font>
      <b/>
      <sz val="12"/>
      <name val="Tw Cen MT"/>
      <family val="2"/>
    </font>
    <font>
      <sz val="9"/>
      <name val="Tw Cen MT"/>
      <family val="2"/>
    </font>
    <font>
      <u/>
      <sz val="11"/>
      <color theme="10"/>
      <name val="Calibri"/>
      <family val="2"/>
    </font>
    <font>
      <sz val="10"/>
      <name val="Segoe UI Semilight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name val="Tw Cen MT"/>
      <family val="2"/>
    </font>
    <font>
      <sz val="9"/>
      <name val="Arial"/>
      <family val="2"/>
    </font>
    <font>
      <b/>
      <sz val="8"/>
      <color rgb="FF222324"/>
      <name val="Century Gothic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Segoe UI Semilight"/>
      <family val="2"/>
      <scheme val="minor"/>
    </font>
    <font>
      <b/>
      <sz val="12"/>
      <name val="Calibri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22232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A1D978"/>
        <bgColor indexed="64"/>
      </patternFill>
    </fill>
    <fill>
      <patternFill patternType="solid">
        <fgColor theme="9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82859C"/>
      </top>
      <bottom style="medium">
        <color rgb="FF82859C"/>
      </bottom>
      <diagonal/>
    </border>
    <border>
      <left/>
      <right/>
      <top/>
      <bottom style="medium">
        <color rgb="FFD9D9D9"/>
      </bottom>
      <diagonal/>
    </border>
  </borders>
  <cellStyleXfs count="31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25" fillId="0" borderId="0"/>
    <xf numFmtId="44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4">
    <xf numFmtId="0" fontId="0" fillId="0" borderId="0" xfId="0"/>
    <xf numFmtId="0" fontId="7" fillId="0" borderId="0" xfId="0" applyFont="1"/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3" fillId="0" borderId="0" xfId="0" applyFont="1"/>
    <xf numFmtId="0" fontId="9" fillId="3" borderId="3" xfId="0" applyFont="1" applyFill="1" applyBorder="1" applyProtection="1"/>
    <xf numFmtId="0" fontId="10" fillId="3" borderId="4" xfId="0" applyFont="1" applyFill="1" applyBorder="1" applyProtection="1"/>
    <xf numFmtId="0" fontId="10" fillId="0" borderId="0" xfId="0" applyFont="1" applyFill="1" applyProtection="1"/>
    <xf numFmtId="0" fontId="0" fillId="0" borderId="0" xfId="0" applyProtection="1"/>
    <xf numFmtId="0" fontId="0" fillId="3" borderId="4" xfId="0" applyFill="1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6" fillId="0" borderId="0" xfId="0" applyFont="1" applyProtection="1"/>
    <xf numFmtId="0" fontId="0" fillId="0" borderId="1" xfId="0" applyBorder="1" applyProtection="1"/>
    <xf numFmtId="0" fontId="6" fillId="0" borderId="1" xfId="0" applyFont="1" applyFill="1" applyBorder="1" applyAlignment="1" applyProtection="1">
      <alignment horizontal="right"/>
    </xf>
    <xf numFmtId="164" fontId="0" fillId="0" borderId="0" xfId="0" applyNumberFormat="1" applyProtection="1"/>
    <xf numFmtId="164" fontId="6" fillId="0" borderId="0" xfId="0" applyNumberFormat="1" applyFont="1" applyProtection="1"/>
    <xf numFmtId="0" fontId="0" fillId="0" borderId="0" xfId="0" applyFill="1" applyProtection="1"/>
    <xf numFmtId="0" fontId="6" fillId="0" borderId="0" xfId="0" applyFont="1" applyFill="1" applyBorder="1" applyProtection="1"/>
    <xf numFmtId="0" fontId="6" fillId="0" borderId="5" xfId="0" applyFont="1" applyBorder="1" applyProtection="1"/>
    <xf numFmtId="0" fontId="6" fillId="0" borderId="8" xfId="0" applyFont="1" applyBorder="1" applyProtection="1"/>
    <xf numFmtId="0" fontId="7" fillId="0" borderId="0" xfId="0" applyFont="1" applyFill="1" applyBorder="1" applyProtection="1"/>
    <xf numFmtId="0" fontId="6" fillId="0" borderId="0" xfId="0" applyFont="1" applyFill="1" applyProtection="1"/>
    <xf numFmtId="0" fontId="0" fillId="0" borderId="0" xfId="0" applyBorder="1" applyProtection="1"/>
    <xf numFmtId="0" fontId="7" fillId="0" borderId="0" xfId="0" applyFont="1" applyFill="1" applyProtection="1"/>
    <xf numFmtId="0" fontId="9" fillId="3" borderId="4" xfId="0" applyFont="1" applyFill="1" applyBorder="1" applyProtection="1"/>
    <xf numFmtId="0" fontId="7" fillId="0" borderId="6" xfId="0" applyFont="1" applyBorder="1" applyProtection="1"/>
    <xf numFmtId="0" fontId="7" fillId="2" borderId="1" xfId="0" applyFont="1" applyFill="1" applyBorder="1" applyProtection="1">
      <protection locked="0"/>
    </xf>
    <xf numFmtId="0" fontId="7" fillId="4" borderId="1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6" fillId="0" borderId="10" xfId="0" applyFont="1" applyFill="1" applyBorder="1" applyAlignment="1" applyProtection="1">
      <alignment horizontal="right"/>
    </xf>
    <xf numFmtId="0" fontId="6" fillId="0" borderId="10" xfId="0" applyFont="1" applyBorder="1" applyProtection="1"/>
    <xf numFmtId="164" fontId="6" fillId="5" borderId="1" xfId="0" applyNumberFormat="1" applyFont="1" applyFill="1" applyBorder="1" applyProtection="1"/>
    <xf numFmtId="0" fontId="6" fillId="6" borderId="3" xfId="0" applyFont="1" applyFill="1" applyBorder="1" applyProtection="1"/>
    <xf numFmtId="0" fontId="0" fillId="6" borderId="8" xfId="0" applyFill="1" applyBorder="1" applyProtection="1"/>
    <xf numFmtId="0" fontId="0" fillId="5" borderId="0" xfId="0" applyFill="1" applyProtection="1"/>
    <xf numFmtId="164" fontId="0" fillId="5" borderId="0" xfId="0" applyNumberFormat="1" applyFill="1" applyProtection="1"/>
    <xf numFmtId="164" fontId="0" fillId="5" borderId="1" xfId="0" applyNumberFormat="1" applyFill="1" applyBorder="1" applyProtection="1"/>
    <xf numFmtId="10" fontId="0" fillId="5" borderId="0" xfId="0" applyNumberFormat="1" applyFill="1" applyProtection="1"/>
    <xf numFmtId="164" fontId="6" fillId="5" borderId="0" xfId="0" applyNumberFormat="1" applyFont="1" applyFill="1" applyProtection="1"/>
    <xf numFmtId="164" fontId="6" fillId="5" borderId="9" xfId="0" applyNumberFormat="1" applyFont="1" applyFill="1" applyBorder="1" applyProtection="1"/>
    <xf numFmtId="164" fontId="5" fillId="5" borderId="9" xfId="0" applyNumberFormat="1" applyFont="1" applyFill="1" applyBorder="1" applyProtection="1"/>
    <xf numFmtId="8" fontId="0" fillId="0" borderId="0" xfId="0" applyNumberFormat="1" applyProtection="1"/>
    <xf numFmtId="0" fontId="9" fillId="3" borderId="11" xfId="0" applyFont="1" applyFill="1" applyBorder="1" applyProtection="1"/>
    <xf numFmtId="0" fontId="9" fillId="3" borderId="4" xfId="0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wrapText="1"/>
    </xf>
    <xf numFmtId="165" fontId="6" fillId="5" borderId="0" xfId="3" applyNumberFormat="1" applyFont="1" applyFill="1" applyProtection="1"/>
    <xf numFmtId="10" fontId="6" fillId="5" borderId="0" xfId="0" applyNumberFormat="1" applyFont="1" applyFill="1" applyProtection="1"/>
    <xf numFmtId="0" fontId="7" fillId="7" borderId="0" xfId="0" applyFont="1" applyFill="1" applyProtection="1"/>
    <xf numFmtId="0" fontId="6" fillId="7" borderId="0" xfId="0" applyFont="1" applyFill="1" applyProtection="1"/>
    <xf numFmtId="0" fontId="6" fillId="7" borderId="0" xfId="0" applyFont="1" applyFill="1" applyAlignment="1" applyProtection="1">
      <alignment horizontal="right"/>
    </xf>
    <xf numFmtId="8" fontId="6" fillId="5" borderId="0" xfId="0" applyNumberFormat="1" applyFont="1" applyFill="1" applyProtection="1"/>
    <xf numFmtId="0" fontId="6" fillId="8" borderId="0" xfId="0" applyFont="1" applyFill="1" applyBorder="1" applyProtection="1"/>
    <xf numFmtId="0" fontId="6" fillId="5" borderId="1" xfId="0" applyFont="1" applyFill="1" applyBorder="1" applyProtection="1"/>
    <xf numFmtId="0" fontId="9" fillId="3" borderId="3" xfId="0" applyFont="1" applyFill="1" applyBorder="1" applyAlignment="1" applyProtection="1">
      <alignment wrapText="1"/>
    </xf>
    <xf numFmtId="0" fontId="9" fillId="0" borderId="0" xfId="0" applyFont="1" applyFill="1" applyBorder="1" applyProtection="1"/>
    <xf numFmtId="0" fontId="10" fillId="0" borderId="0" xfId="0" applyFont="1" applyFill="1" applyBorder="1" applyProtection="1"/>
    <xf numFmtId="0" fontId="6" fillId="0" borderId="6" xfId="0" applyFont="1" applyBorder="1" applyAlignment="1" applyProtection="1">
      <alignment wrapText="1"/>
    </xf>
    <xf numFmtId="0" fontId="7" fillId="0" borderId="10" xfId="0" applyFont="1" applyBorder="1" applyProtection="1"/>
    <xf numFmtId="0" fontId="7" fillId="0" borderId="12" xfId="0" applyFont="1" applyBorder="1" applyProtection="1"/>
    <xf numFmtId="0" fontId="7" fillId="0" borderId="0" xfId="0" applyFont="1" applyProtection="1"/>
    <xf numFmtId="0" fontId="6" fillId="0" borderId="6" xfId="0" applyFont="1" applyFill="1" applyBorder="1" applyAlignment="1" applyProtection="1">
      <alignment wrapText="1"/>
    </xf>
    <xf numFmtId="0" fontId="6" fillId="0" borderId="12" xfId="0" applyFont="1" applyFill="1" applyBorder="1" applyAlignment="1" applyProtection="1">
      <alignment horizontal="right"/>
    </xf>
    <xf numFmtId="0" fontId="7" fillId="0" borderId="13" xfId="0" applyFont="1" applyFill="1" applyBorder="1" applyProtection="1"/>
    <xf numFmtId="0" fontId="7" fillId="0" borderId="6" xfId="0" applyFont="1" applyFill="1" applyBorder="1" applyAlignment="1" applyProtection="1">
      <alignment wrapText="1"/>
    </xf>
    <xf numFmtId="0" fontId="6" fillId="0" borderId="13" xfId="0" applyFont="1" applyBorder="1" applyProtection="1"/>
    <xf numFmtId="0" fontId="6" fillId="0" borderId="0" xfId="0" applyFont="1" applyFill="1" applyBorder="1" applyAlignment="1" applyProtection="1">
      <alignment horizontal="right"/>
    </xf>
    <xf numFmtId="4" fontId="6" fillId="0" borderId="0" xfId="0" applyNumberFormat="1" applyFont="1" applyFill="1" applyBorder="1" applyProtection="1"/>
    <xf numFmtId="0" fontId="6" fillId="0" borderId="7" xfId="0" applyFont="1" applyBorder="1" applyAlignment="1" applyProtection="1">
      <alignment wrapText="1"/>
    </xf>
    <xf numFmtId="0" fontId="6" fillId="0" borderId="2" xfId="0" applyFont="1" applyBorder="1" applyProtection="1"/>
    <xf numFmtId="0" fontId="6" fillId="0" borderId="14" xfId="0" applyFont="1" applyBorder="1" applyAlignment="1" applyProtection="1">
      <alignment horizontal="right"/>
    </xf>
    <xf numFmtId="0" fontId="7" fillId="0" borderId="0" xfId="0" applyFont="1" applyAlignment="1" applyProtection="1">
      <alignment wrapText="1"/>
    </xf>
    <xf numFmtId="0" fontId="6" fillId="0" borderId="0" xfId="0" applyFont="1" applyAlignment="1" applyProtection="1">
      <alignment horizontal="right"/>
    </xf>
    <xf numFmtId="0" fontId="6" fillId="0" borderId="0" xfId="0" applyFont="1" applyBorder="1" applyProtection="1"/>
    <xf numFmtId="0" fontId="10" fillId="3" borderId="11" xfId="0" applyFont="1" applyFill="1" applyBorder="1" applyProtection="1"/>
    <xf numFmtId="0" fontId="6" fillId="6" borderId="1" xfId="0" applyFont="1" applyFill="1" applyBorder="1" applyProtection="1"/>
    <xf numFmtId="0" fontId="7" fillId="0" borderId="0" xfId="0" applyFont="1" applyBorder="1" applyProtection="1"/>
    <xf numFmtId="10" fontId="6" fillId="0" borderId="0" xfId="0" applyNumberFormat="1" applyFont="1" applyFill="1" applyProtection="1"/>
    <xf numFmtId="10" fontId="6" fillId="5" borderId="15" xfId="0" applyNumberFormat="1" applyFont="1" applyFill="1" applyBorder="1" applyProtection="1"/>
    <xf numFmtId="10" fontId="6" fillId="5" borderId="9" xfId="0" applyNumberFormat="1" applyFont="1" applyFill="1" applyBorder="1" applyProtection="1"/>
    <xf numFmtId="10" fontId="6" fillId="5" borderId="16" xfId="0" applyNumberFormat="1" applyFont="1" applyFill="1" applyBorder="1" applyProtection="1"/>
    <xf numFmtId="0" fontId="0" fillId="3" borderId="4" xfId="0" applyFill="1" applyBorder="1" applyAlignment="1" applyProtection="1">
      <alignment horizontal="right"/>
    </xf>
    <xf numFmtId="164" fontId="6" fillId="5" borderId="1" xfId="0" applyNumberFormat="1" applyFont="1" applyFill="1" applyBorder="1" applyAlignment="1" applyProtection="1">
      <alignment horizontal="right"/>
    </xf>
    <xf numFmtId="0" fontId="0" fillId="3" borderId="11" xfId="0" applyFill="1" applyBorder="1" applyProtection="1"/>
    <xf numFmtId="0" fontId="6" fillId="0" borderId="0" xfId="0" applyFont="1" applyAlignment="1" applyProtection="1">
      <alignment horizontal="left"/>
    </xf>
    <xf numFmtId="0" fontId="0" fillId="0" borderId="0" xfId="0" applyAlignment="1" applyProtection="1">
      <alignment horizontal="right"/>
    </xf>
    <xf numFmtId="164" fontId="0" fillId="5" borderId="1" xfId="0" applyNumberFormat="1" applyFill="1" applyBorder="1" applyAlignment="1" applyProtection="1">
      <alignment horizontal="right"/>
    </xf>
    <xf numFmtId="167" fontId="6" fillId="5" borderId="1" xfId="0" applyNumberFormat="1" applyFont="1" applyFill="1" applyBorder="1" applyAlignment="1" applyProtection="1">
      <alignment horizontal="right"/>
    </xf>
    <xf numFmtId="0" fontId="6" fillId="0" borderId="6" xfId="0" applyFont="1" applyBorder="1" applyProtection="1"/>
    <xf numFmtId="10" fontId="6" fillId="5" borderId="9" xfId="3" applyNumberFormat="1" applyFont="1" applyFill="1" applyBorder="1" applyAlignment="1" applyProtection="1">
      <alignment horizontal="right"/>
    </xf>
    <xf numFmtId="0" fontId="6" fillId="6" borderId="17" xfId="0" applyFont="1" applyFill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4" xfId="0" applyBorder="1" applyProtection="1"/>
    <xf numFmtId="164" fontId="5" fillId="5" borderId="15" xfId="0" applyNumberFormat="1" applyFont="1" applyFill="1" applyBorder="1" applyProtection="1"/>
    <xf numFmtId="164" fontId="6" fillId="5" borderId="2" xfId="0" applyNumberFormat="1" applyFont="1" applyFill="1" applyBorder="1" applyProtection="1"/>
    <xf numFmtId="10" fontId="14" fillId="9" borderId="1" xfId="3" applyNumberFormat="1" applyFont="1" applyFill="1" applyBorder="1" applyProtection="1"/>
    <xf numFmtId="0" fontId="11" fillId="0" borderId="0" xfId="1" applyAlignment="1" applyProtection="1"/>
    <xf numFmtId="0" fontId="17" fillId="0" borderId="0" xfId="0" applyFont="1" applyProtection="1"/>
    <xf numFmtId="168" fontId="6" fillId="5" borderId="1" xfId="0" applyNumberFormat="1" applyFont="1" applyFill="1" applyBorder="1" applyProtection="1"/>
    <xf numFmtId="0" fontId="6" fillId="5" borderId="0" xfId="2" applyFont="1" applyFill="1" applyProtection="1"/>
    <xf numFmtId="0" fontId="0" fillId="0" borderId="6" xfId="0" applyFill="1" applyBorder="1" applyProtection="1"/>
    <xf numFmtId="0" fontId="0" fillId="0" borderId="0" xfId="0" applyFill="1" applyBorder="1" applyProtection="1"/>
    <xf numFmtId="164" fontId="0" fillId="0" borderId="0" xfId="0" applyNumberFormat="1" applyFill="1" applyBorder="1" applyProtection="1"/>
    <xf numFmtId="0" fontId="0" fillId="0" borderId="0" xfId="0" applyFill="1" applyAlignment="1" applyProtection="1">
      <alignment wrapText="1"/>
    </xf>
    <xf numFmtId="0" fontId="1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Protection="1">
      <protection locked="0"/>
    </xf>
    <xf numFmtId="164" fontId="0" fillId="2" borderId="9" xfId="0" applyNumberForma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164" fontId="5" fillId="2" borderId="1" xfId="0" applyNumberFormat="1" applyFont="1" applyFill="1" applyBorder="1" applyProtection="1">
      <protection locked="0"/>
    </xf>
    <xf numFmtId="164" fontId="5" fillId="2" borderId="1" xfId="6" applyNumberFormat="1" applyFill="1" applyBorder="1" applyProtection="1">
      <protection locked="0"/>
    </xf>
    <xf numFmtId="164" fontId="5" fillId="2" borderId="14" xfId="6" applyNumberFormat="1" applyFill="1" applyBorder="1" applyProtection="1">
      <protection locked="0"/>
    </xf>
    <xf numFmtId="10" fontId="5" fillId="11" borderId="18" xfId="0" applyNumberFormat="1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Protection="1"/>
    <xf numFmtId="0" fontId="5" fillId="0" borderId="0" xfId="0" applyFont="1" applyFill="1" applyProtection="1"/>
    <xf numFmtId="164" fontId="0" fillId="2" borderId="9" xfId="0" applyNumberFormat="1" applyFill="1" applyBorder="1" applyAlignment="1" applyProtection="1">
      <alignment horizontal="right" vertical="center"/>
      <protection locked="0"/>
    </xf>
    <xf numFmtId="0" fontId="6" fillId="12" borderId="1" xfId="0" applyFont="1" applyFill="1" applyBorder="1" applyProtection="1"/>
    <xf numFmtId="164" fontId="0" fillId="12" borderId="4" xfId="0" applyNumberFormat="1" applyFill="1" applyBorder="1" applyProtection="1"/>
    <xf numFmtId="0" fontId="7" fillId="12" borderId="1" xfId="0" applyFont="1" applyFill="1" applyBorder="1" applyProtection="1"/>
    <xf numFmtId="166" fontId="0" fillId="12" borderId="4" xfId="0" applyNumberFormat="1" applyFill="1" applyBorder="1" applyProtection="1"/>
    <xf numFmtId="8" fontId="0" fillId="12" borderId="4" xfId="0" applyNumberFormat="1" applyFill="1" applyBorder="1" applyProtection="1"/>
    <xf numFmtId="8" fontId="6" fillId="12" borderId="14" xfId="0" applyNumberFormat="1" applyFont="1" applyFill="1" applyBorder="1" applyProtection="1"/>
    <xf numFmtId="169" fontId="0" fillId="2" borderId="1" xfId="0" applyNumberFormat="1" applyFill="1" applyBorder="1" applyProtection="1">
      <protection locked="0"/>
    </xf>
    <xf numFmtId="0" fontId="5" fillId="0" borderId="0" xfId="0" applyFont="1"/>
    <xf numFmtId="10" fontId="5" fillId="11" borderId="1" xfId="0" applyNumberFormat="1" applyFont="1" applyFill="1" applyBorder="1" applyProtection="1">
      <protection locked="0"/>
    </xf>
    <xf numFmtId="0" fontId="5" fillId="11" borderId="2" xfId="0" applyFont="1" applyFill="1" applyBorder="1" applyProtection="1">
      <protection locked="0"/>
    </xf>
    <xf numFmtId="164" fontId="5" fillId="11" borderId="1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</xf>
    <xf numFmtId="0" fontId="5" fillId="0" borderId="0" xfId="0" applyFont="1" applyFill="1" applyBorder="1" applyProtection="1"/>
    <xf numFmtId="10" fontId="5" fillId="0" borderId="12" xfId="0" applyNumberFormat="1" applyFont="1" applyBorder="1" applyProtection="1">
      <protection locked="0"/>
    </xf>
    <xf numFmtId="164" fontId="0" fillId="0" borderId="0" xfId="0" applyNumberFormat="1" applyFill="1" applyProtection="1"/>
    <xf numFmtId="8" fontId="19" fillId="0" borderId="0" xfId="0" applyNumberFormat="1" applyFont="1" applyBorder="1" applyAlignment="1">
      <alignment vertical="center"/>
    </xf>
    <xf numFmtId="8" fontId="0" fillId="0" borderId="0" xfId="0" applyNumberFormat="1" applyBorder="1" applyProtection="1"/>
    <xf numFmtId="10" fontId="5" fillId="9" borderId="19" xfId="0" applyNumberFormat="1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left"/>
    </xf>
    <xf numFmtId="0" fontId="21" fillId="0" borderId="0" xfId="9" applyFont="1"/>
    <xf numFmtId="0" fontId="5" fillId="0" borderId="0" xfId="14" applyFont="1"/>
    <xf numFmtId="43" fontId="5" fillId="0" borderId="0" xfId="13" applyFont="1"/>
    <xf numFmtId="0" fontId="28" fillId="0" borderId="0" xfId="14" applyFont="1"/>
    <xf numFmtId="178" fontId="28" fillId="0" borderId="0" xfId="14" applyNumberFormat="1" applyFont="1"/>
    <xf numFmtId="2" fontId="6" fillId="5" borderId="15" xfId="0" applyNumberFormat="1" applyFont="1" applyFill="1" applyBorder="1" applyProtection="1"/>
    <xf numFmtId="182" fontId="7" fillId="0" borderId="0" xfId="0" applyNumberFormat="1" applyFont="1" applyFill="1" applyBorder="1" applyProtection="1"/>
    <xf numFmtId="183" fontId="7" fillId="0" borderId="0" xfId="0" applyNumberFormat="1" applyFont="1" applyFill="1" applyBorder="1" applyProtection="1"/>
    <xf numFmtId="0" fontId="2" fillId="0" borderId="0" xfId="24"/>
    <xf numFmtId="0" fontId="30" fillId="19" borderId="0" xfId="24" applyFont="1" applyFill="1" applyAlignment="1">
      <alignment vertical="center" wrapText="1"/>
    </xf>
    <xf numFmtId="44" fontId="0" fillId="0" borderId="0" xfId="0" applyNumberFormat="1" applyFill="1" applyProtection="1"/>
    <xf numFmtId="0" fontId="5" fillId="13" borderId="0" xfId="0" applyFont="1" applyFill="1" applyProtection="1"/>
    <xf numFmtId="0" fontId="7" fillId="13" borderId="0" xfId="0" applyFont="1" applyFill="1" applyProtection="1"/>
    <xf numFmtId="49" fontId="5" fillId="13" borderId="0" xfId="0" applyNumberFormat="1" applyFont="1" applyFill="1" applyProtection="1"/>
    <xf numFmtId="0" fontId="31" fillId="0" borderId="0" xfId="9" applyFont="1"/>
    <xf numFmtId="0" fontId="31" fillId="0" borderId="0" xfId="9" applyFont="1" applyAlignment="1">
      <alignment horizontal="center" vertical="center"/>
    </xf>
    <xf numFmtId="165" fontId="27" fillId="0" borderId="0" xfId="11" applyNumberFormat="1" applyFont="1" applyFill="1" applyBorder="1" applyAlignment="1">
      <alignment horizontal="center" vertical="center"/>
    </xf>
    <xf numFmtId="179" fontId="31" fillId="0" borderId="0" xfId="9" applyNumberFormat="1" applyFont="1"/>
    <xf numFmtId="0" fontId="32" fillId="0" borderId="0" xfId="9" applyFont="1" applyAlignment="1">
      <alignment wrapText="1"/>
    </xf>
    <xf numFmtId="10" fontId="31" fillId="0" borderId="0" xfId="9" applyNumberFormat="1" applyFont="1"/>
    <xf numFmtId="0" fontId="33" fillId="0" borderId="0" xfId="24" applyFont="1"/>
    <xf numFmtId="10" fontId="5" fillId="0" borderId="0" xfId="0" applyNumberFormat="1" applyFont="1"/>
    <xf numFmtId="177" fontId="5" fillId="0" borderId="0" xfId="14" applyNumberFormat="1" applyFont="1"/>
    <xf numFmtId="0" fontId="7" fillId="0" borderId="6" xfId="0" applyFont="1" applyFill="1" applyBorder="1" applyProtection="1"/>
    <xf numFmtId="0" fontId="5" fillId="0" borderId="0" xfId="14" applyFont="1" applyProtection="1"/>
    <xf numFmtId="0" fontId="13" fillId="14" borderId="4" xfId="14" applyFont="1" applyFill="1" applyBorder="1" applyAlignment="1" applyProtection="1">
      <alignment horizontal="center"/>
    </xf>
    <xf numFmtId="0" fontId="6" fillId="0" borderId="24" xfId="14" applyFont="1" applyBorder="1" applyProtection="1"/>
    <xf numFmtId="0" fontId="6" fillId="0" borderId="29" xfId="14" applyFont="1" applyBorder="1" applyProtection="1"/>
    <xf numFmtId="0" fontId="6" fillId="0" borderId="33" xfId="14" applyFont="1" applyBorder="1" applyProtection="1"/>
    <xf numFmtId="0" fontId="6" fillId="0" borderId="36" xfId="14" applyFont="1" applyBorder="1" applyProtection="1"/>
    <xf numFmtId="0" fontId="31" fillId="0" borderId="0" xfId="9" applyFont="1" applyProtection="1"/>
    <xf numFmtId="0" fontId="6" fillId="0" borderId="0" xfId="0" applyFont="1" applyAlignment="1" applyProtection="1">
      <alignment horizontal="center"/>
    </xf>
    <xf numFmtId="0" fontId="13" fillId="14" borderId="3" xfId="14" applyFont="1" applyFill="1" applyBorder="1" applyAlignment="1" applyProtection="1">
      <alignment horizontal="center"/>
    </xf>
    <xf numFmtId="0" fontId="13" fillId="14" borderId="11" xfId="14" applyFont="1" applyFill="1" applyBorder="1" applyAlignment="1" applyProtection="1">
      <alignment horizontal="center"/>
    </xf>
    <xf numFmtId="0" fontId="4" fillId="0" borderId="11" xfId="9" applyBorder="1" applyProtection="1"/>
    <xf numFmtId="2" fontId="5" fillId="12" borderId="1" xfId="0" applyNumberFormat="1" applyFont="1" applyFill="1" applyBorder="1" applyProtection="1"/>
    <xf numFmtId="0" fontId="10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Protection="1">
      <protection locked="0"/>
    </xf>
    <xf numFmtId="8" fontId="0" fillId="0" borderId="0" xfId="0" applyNumberFormat="1" applyProtection="1">
      <protection locked="0"/>
    </xf>
    <xf numFmtId="0" fontId="6" fillId="0" borderId="0" xfId="0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7" fillId="0" borderId="0" xfId="0" quotePrefix="1" applyFont="1" applyProtection="1">
      <protection locked="0"/>
    </xf>
    <xf numFmtId="0" fontId="7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164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14" fontId="6" fillId="0" borderId="0" xfId="0" applyNumberFormat="1" applyFont="1" applyFill="1" applyProtection="1">
      <protection locked="0"/>
    </xf>
    <xf numFmtId="3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1" fillId="0" borderId="0" xfId="1" applyAlignment="1" applyProtection="1">
      <protection locked="0"/>
    </xf>
    <xf numFmtId="0" fontId="12" fillId="0" borderId="0" xfId="0" applyFont="1" applyFill="1" applyProtection="1">
      <protection locked="0"/>
    </xf>
    <xf numFmtId="181" fontId="5" fillId="0" borderId="0" xfId="0" applyNumberFormat="1" applyFont="1" applyProtection="1"/>
    <xf numFmtId="0" fontId="0" fillId="0" borderId="0" xfId="0" applyAlignment="1" applyProtection="1">
      <alignment horizontal="right"/>
      <protection locked="0"/>
    </xf>
    <xf numFmtId="166" fontId="0" fillId="0" borderId="0" xfId="0" applyNumberFormat="1" applyProtection="1">
      <protection locked="0"/>
    </xf>
    <xf numFmtId="8" fontId="6" fillId="0" borderId="0" xfId="0" applyNumberFormat="1" applyFont="1" applyProtection="1">
      <protection locked="0"/>
    </xf>
    <xf numFmtId="0" fontId="21" fillId="0" borderId="0" xfId="9" applyFont="1" applyProtection="1">
      <protection locked="0"/>
    </xf>
    <xf numFmtId="0" fontId="21" fillId="0" borderId="0" xfId="9" applyFont="1" applyProtection="1"/>
    <xf numFmtId="10" fontId="23" fillId="0" borderId="0" xfId="9" applyNumberFormat="1" applyFont="1" applyAlignment="1" applyProtection="1">
      <alignment horizontal="center"/>
    </xf>
    <xf numFmtId="15" fontId="6" fillId="10" borderId="18" xfId="2" applyNumberFormat="1" applyFont="1" applyFill="1" applyBorder="1" applyProtection="1">
      <protection locked="0"/>
    </xf>
    <xf numFmtId="0" fontId="28" fillId="0" borderId="0" xfId="14" applyFont="1" applyProtection="1">
      <protection locked="0"/>
    </xf>
    <xf numFmtId="178" fontId="28" fillId="0" borderId="0" xfId="14" applyNumberFormat="1" applyFont="1" applyProtection="1">
      <protection locked="0"/>
    </xf>
    <xf numFmtId="14" fontId="23" fillId="0" borderId="0" xfId="14" applyNumberFormat="1" applyFont="1" applyAlignment="1" applyProtection="1">
      <alignment horizontal="right"/>
      <protection locked="0"/>
    </xf>
    <xf numFmtId="171" fontId="29" fillId="0" borderId="0" xfId="9" applyNumberFormat="1" applyFont="1" applyAlignment="1" applyProtection="1">
      <alignment horizontal="right"/>
      <protection locked="0"/>
    </xf>
    <xf numFmtId="185" fontId="29" fillId="0" borderId="0" xfId="9" applyNumberFormat="1" applyFont="1" applyAlignment="1" applyProtection="1">
      <alignment horizontal="right"/>
      <protection locked="0"/>
    </xf>
    <xf numFmtId="10" fontId="28" fillId="0" borderId="0" xfId="11" applyNumberFormat="1" applyFont="1" applyProtection="1">
      <protection locked="0"/>
    </xf>
    <xf numFmtId="15" fontId="5" fillId="0" borderId="0" xfId="6" applyNumberFormat="1" applyProtection="1">
      <protection locked="0"/>
    </xf>
    <xf numFmtId="169" fontId="5" fillId="0" borderId="0" xfId="6" applyNumberFormat="1" applyProtection="1">
      <protection locked="0"/>
    </xf>
    <xf numFmtId="171" fontId="29" fillId="0" borderId="0" xfId="6" applyNumberFormat="1" applyFont="1" applyAlignment="1" applyProtection="1">
      <alignment horizontal="right"/>
      <protection locked="0"/>
    </xf>
    <xf numFmtId="172" fontId="29" fillId="0" borderId="0" xfId="6" applyNumberFormat="1" applyFont="1" applyProtection="1">
      <protection locked="0"/>
    </xf>
    <xf numFmtId="172" fontId="29" fillId="0" borderId="0" xfId="6" applyNumberFormat="1" applyFont="1" applyAlignment="1" applyProtection="1">
      <alignment horizontal="right"/>
      <protection locked="0"/>
    </xf>
    <xf numFmtId="169" fontId="28" fillId="0" borderId="0" xfId="14" applyNumberFormat="1" applyFont="1" applyProtection="1">
      <protection locked="0"/>
    </xf>
    <xf numFmtId="172" fontId="29" fillId="0" borderId="0" xfId="9" applyNumberFormat="1" applyFont="1" applyAlignment="1" applyProtection="1">
      <alignment horizontal="right"/>
      <protection locked="0"/>
    </xf>
    <xf numFmtId="171" fontId="29" fillId="16" borderId="0" xfId="9" applyNumberFormat="1" applyFont="1" applyFill="1" applyAlignment="1" applyProtection="1">
      <alignment horizontal="right"/>
      <protection locked="0"/>
    </xf>
    <xf numFmtId="0" fontId="28" fillId="0" borderId="0" xfId="14" applyFont="1" applyProtection="1"/>
    <xf numFmtId="178" fontId="28" fillId="0" borderId="0" xfId="14" applyNumberFormat="1" applyFont="1" applyProtection="1"/>
    <xf numFmtId="178" fontId="22" fillId="14" borderId="18" xfId="14" applyNumberFormat="1" applyFont="1" applyFill="1" applyBorder="1" applyAlignment="1" applyProtection="1">
      <alignment horizontal="center"/>
    </xf>
    <xf numFmtId="43" fontId="26" fillId="15" borderId="25" xfId="13" applyFont="1" applyFill="1" applyBorder="1" applyAlignment="1" applyProtection="1">
      <alignment horizontal="center" vertical="center"/>
    </xf>
    <xf numFmtId="43" fontId="26" fillId="15" borderId="26" xfId="13" applyFont="1" applyFill="1" applyBorder="1" applyAlignment="1" applyProtection="1">
      <alignment horizontal="center" vertical="center"/>
    </xf>
    <xf numFmtId="43" fontId="26" fillId="15" borderId="26" xfId="13" applyFont="1" applyFill="1" applyBorder="1" applyProtection="1"/>
    <xf numFmtId="43" fontId="26" fillId="15" borderId="19" xfId="13" applyFont="1" applyFill="1" applyBorder="1" applyProtection="1"/>
    <xf numFmtId="43" fontId="26" fillId="15" borderId="27" xfId="13" applyFont="1" applyFill="1" applyBorder="1" applyProtection="1"/>
    <xf numFmtId="43" fontId="26" fillId="15" borderId="28" xfId="13" applyFont="1" applyFill="1" applyBorder="1" applyProtection="1"/>
    <xf numFmtId="10" fontId="26" fillId="15" borderId="30" xfId="11" applyNumberFormat="1" applyFont="1" applyFill="1" applyBorder="1" applyAlignment="1" applyProtection="1">
      <alignment horizontal="center" vertical="center"/>
    </xf>
    <xf numFmtId="10" fontId="26" fillId="15" borderId="18" xfId="11" applyNumberFormat="1" applyFont="1" applyFill="1" applyBorder="1" applyAlignment="1" applyProtection="1">
      <alignment horizontal="center" vertical="center"/>
    </xf>
    <xf numFmtId="10" fontId="26" fillId="15" borderId="18" xfId="11" applyNumberFormat="1" applyFont="1" applyFill="1" applyBorder="1" applyProtection="1"/>
    <xf numFmtId="10" fontId="26" fillId="15" borderId="31" xfId="11" applyNumberFormat="1" applyFont="1" applyFill="1" applyBorder="1" applyProtection="1"/>
    <xf numFmtId="176" fontId="26" fillId="15" borderId="18" xfId="13" applyNumberFormat="1" applyFont="1" applyFill="1" applyBorder="1" applyProtection="1"/>
    <xf numFmtId="176" fontId="26" fillId="15" borderId="31" xfId="13" applyNumberFormat="1" applyFont="1" applyFill="1" applyBorder="1" applyProtection="1"/>
    <xf numFmtId="43" fontId="26" fillId="15" borderId="18" xfId="13" applyFont="1" applyFill="1" applyBorder="1" applyProtection="1"/>
    <xf numFmtId="43" fontId="26" fillId="15" borderId="31" xfId="13" applyFont="1" applyFill="1" applyBorder="1" applyProtection="1"/>
    <xf numFmtId="43" fontId="26" fillId="15" borderId="32" xfId="13" applyFont="1" applyFill="1" applyBorder="1" applyProtection="1"/>
    <xf numFmtId="10" fontId="26" fillId="15" borderId="34" xfId="11" applyNumberFormat="1" applyFont="1" applyFill="1" applyBorder="1" applyAlignment="1" applyProtection="1">
      <alignment horizontal="center" vertical="center"/>
    </xf>
    <xf numFmtId="10" fontId="26" fillId="15" borderId="35" xfId="11" applyNumberFormat="1" applyFont="1" applyFill="1" applyBorder="1" applyAlignment="1" applyProtection="1">
      <alignment horizontal="center" vertical="center"/>
    </xf>
    <xf numFmtId="43" fontId="26" fillId="15" borderId="35" xfId="13" applyFont="1" applyFill="1" applyBorder="1" applyProtection="1"/>
    <xf numFmtId="8" fontId="26" fillId="15" borderId="32" xfId="13" applyNumberFormat="1" applyFont="1" applyFill="1" applyBorder="1" applyProtection="1"/>
    <xf numFmtId="177" fontId="26" fillId="15" borderId="30" xfId="15" applyNumberFormat="1" applyFont="1" applyFill="1" applyBorder="1" applyProtection="1"/>
    <xf numFmtId="177" fontId="26" fillId="15" borderId="18" xfId="15" applyNumberFormat="1" applyFont="1" applyFill="1" applyBorder="1" applyProtection="1"/>
    <xf numFmtId="177" fontId="26" fillId="15" borderId="31" xfId="15" applyNumberFormat="1" applyFont="1" applyFill="1" applyBorder="1" applyProtection="1"/>
    <xf numFmtId="177" fontId="26" fillId="15" borderId="37" xfId="15" applyNumberFormat="1" applyFont="1" applyFill="1" applyBorder="1" applyProtection="1"/>
    <xf numFmtId="177" fontId="26" fillId="15" borderId="38" xfId="15" applyNumberFormat="1" applyFont="1" applyFill="1" applyBorder="1" applyProtection="1"/>
    <xf numFmtId="177" fontId="26" fillId="15" borderId="39" xfId="15" applyNumberFormat="1" applyFont="1" applyFill="1" applyBorder="1" applyProtection="1"/>
    <xf numFmtId="177" fontId="26" fillId="15" borderId="40" xfId="15" applyNumberFormat="1" applyFont="1" applyFill="1" applyBorder="1" applyProtection="1"/>
    <xf numFmtId="0" fontId="5" fillId="0" borderId="5" xfId="14" applyFont="1" applyBorder="1" applyProtection="1"/>
    <xf numFmtId="0" fontId="5" fillId="0" borderId="17" xfId="14" applyFont="1" applyBorder="1" applyProtection="1"/>
    <xf numFmtId="0" fontId="5" fillId="0" borderId="8" xfId="14" applyFont="1" applyBorder="1" applyProtection="1"/>
    <xf numFmtId="0" fontId="5" fillId="0" borderId="6" xfId="14" applyFont="1" applyBorder="1" applyProtection="1"/>
    <xf numFmtId="0" fontId="5" fillId="0" borderId="12" xfId="14" applyFont="1" applyBorder="1" applyProtection="1"/>
    <xf numFmtId="0" fontId="13" fillId="0" borderId="0" xfId="14" applyFont="1" applyProtection="1"/>
    <xf numFmtId="0" fontId="13" fillId="14" borderId="5" xfId="14" applyFont="1" applyFill="1" applyBorder="1" applyAlignment="1" applyProtection="1">
      <alignment horizontal="center"/>
    </xf>
    <xf numFmtId="0" fontId="13" fillId="14" borderId="17" xfId="14" applyFont="1" applyFill="1" applyBorder="1" applyAlignment="1" applyProtection="1">
      <alignment horizontal="center"/>
    </xf>
    <xf numFmtId="0" fontId="13" fillId="14" borderId="8" xfId="14" applyFont="1" applyFill="1" applyBorder="1" applyAlignment="1" applyProtection="1">
      <alignment horizontal="center"/>
    </xf>
    <xf numFmtId="0" fontId="13" fillId="14" borderId="5" xfId="14" applyFont="1" applyFill="1" applyBorder="1" applyProtection="1"/>
    <xf numFmtId="177" fontId="27" fillId="14" borderId="17" xfId="16" applyNumberFormat="1" applyFont="1" applyFill="1" applyBorder="1" applyProtection="1"/>
    <xf numFmtId="177" fontId="27" fillId="14" borderId="8" xfId="16" applyNumberFormat="1" applyFont="1" applyFill="1" applyBorder="1" applyProtection="1"/>
    <xf numFmtId="177" fontId="27" fillId="0" borderId="0" xfId="16" applyNumberFormat="1" applyFont="1" applyFill="1" applyBorder="1" applyProtection="1"/>
    <xf numFmtId="0" fontId="13" fillId="14" borderId="6" xfId="14" applyFont="1" applyFill="1" applyBorder="1" applyProtection="1"/>
    <xf numFmtId="177" fontId="27" fillId="14" borderId="0" xfId="16" applyNumberFormat="1" applyFont="1" applyFill="1" applyBorder="1" applyProtection="1"/>
    <xf numFmtId="177" fontId="27" fillId="14" borderId="12" xfId="16" applyNumberFormat="1" applyFont="1" applyFill="1" applyBorder="1" applyProtection="1"/>
    <xf numFmtId="0" fontId="26" fillId="14" borderId="0" xfId="14" applyFont="1" applyFill="1" applyProtection="1"/>
    <xf numFmtId="0" fontId="26" fillId="14" borderId="12" xfId="14" applyFont="1" applyFill="1" applyBorder="1" applyProtection="1"/>
    <xf numFmtId="0" fontId="26" fillId="0" borderId="0" xfId="14" applyFont="1" applyProtection="1"/>
    <xf numFmtId="0" fontId="13" fillId="14" borderId="7" xfId="14" applyFont="1" applyFill="1" applyBorder="1" applyProtection="1"/>
    <xf numFmtId="177" fontId="26" fillId="14" borderId="20" xfId="14" applyNumberFormat="1" applyFont="1" applyFill="1" applyBorder="1" applyProtection="1"/>
    <xf numFmtId="177" fontId="26" fillId="14" borderId="14" xfId="14" applyNumberFormat="1" applyFont="1" applyFill="1" applyBorder="1" applyProtection="1"/>
    <xf numFmtId="177" fontId="26" fillId="0" borderId="0" xfId="14" applyNumberFormat="1" applyFont="1" applyProtection="1"/>
    <xf numFmtId="9" fontId="27" fillId="0" borderId="0" xfId="17" applyFont="1" applyBorder="1" applyProtection="1"/>
    <xf numFmtId="9" fontId="27" fillId="0" borderId="0" xfId="17" applyFont="1" applyFill="1" applyBorder="1" applyProtection="1"/>
    <xf numFmtId="0" fontId="5" fillId="0" borderId="7" xfId="14" applyFont="1" applyBorder="1" applyProtection="1"/>
    <xf numFmtId="0" fontId="5" fillId="0" borderId="20" xfId="14" applyFont="1" applyBorder="1" applyProtection="1"/>
    <xf numFmtId="0" fontId="5" fillId="0" borderId="14" xfId="14" applyFont="1" applyBorder="1" applyProtection="1"/>
    <xf numFmtId="0" fontId="31" fillId="0" borderId="0" xfId="9" applyFont="1" applyAlignment="1" applyProtection="1">
      <alignment horizontal="center" vertical="center"/>
    </xf>
    <xf numFmtId="0" fontId="31" fillId="0" borderId="0" xfId="9" applyFont="1" applyFill="1" applyProtection="1"/>
    <xf numFmtId="165" fontId="31" fillId="0" borderId="0" xfId="9" applyNumberFormat="1" applyFont="1" applyProtection="1"/>
    <xf numFmtId="1" fontId="31" fillId="0" borderId="0" xfId="9" applyNumberFormat="1" applyFont="1" applyFill="1" applyProtection="1"/>
    <xf numFmtId="10" fontId="6" fillId="2" borderId="1" xfId="0" applyNumberFormat="1" applyFont="1" applyFill="1" applyBorder="1" applyProtection="1">
      <protection locked="0"/>
    </xf>
    <xf numFmtId="169" fontId="5" fillId="11" borderId="2" xfId="0" applyNumberFormat="1" applyFont="1" applyFill="1" applyBorder="1" applyProtection="1">
      <protection locked="0"/>
    </xf>
    <xf numFmtId="0" fontId="9" fillId="3" borderId="3" xfId="0" applyFont="1" applyFill="1" applyBorder="1" applyProtection="1">
      <protection locked="0"/>
    </xf>
    <xf numFmtId="0" fontId="9" fillId="3" borderId="11" xfId="0" applyFont="1" applyFill="1" applyBorder="1" applyProtection="1">
      <protection locked="0"/>
    </xf>
    <xf numFmtId="0" fontId="10" fillId="3" borderId="4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165" fontId="0" fillId="0" borderId="0" xfId="3" applyNumberFormat="1" applyFont="1" applyProtection="1">
      <protection locked="0"/>
    </xf>
    <xf numFmtId="0" fontId="22" fillId="25" borderId="18" xfId="14" applyFont="1" applyFill="1" applyBorder="1" applyProtection="1">
      <protection locked="0"/>
    </xf>
    <xf numFmtId="0" fontId="20" fillId="0" borderId="0" xfId="9" applyFont="1" applyProtection="1"/>
    <xf numFmtId="0" fontId="6" fillId="14" borderId="2" xfId="9" applyFont="1" applyFill="1" applyBorder="1" applyAlignment="1" applyProtection="1">
      <alignment horizontal="center"/>
    </xf>
    <xf numFmtId="0" fontId="5" fillId="17" borderId="20" xfId="9" applyFont="1" applyFill="1" applyBorder="1" applyAlignment="1" applyProtection="1">
      <alignment horizontal="center"/>
      <protection locked="0"/>
    </xf>
    <xf numFmtId="0" fontId="5" fillId="17" borderId="14" xfId="9" applyFont="1" applyFill="1" applyBorder="1" applyAlignment="1" applyProtection="1">
      <alignment horizontal="center"/>
      <protection locked="0"/>
    </xf>
    <xf numFmtId="0" fontId="6" fillId="14" borderId="7" xfId="9" applyFont="1" applyFill="1" applyBorder="1" applyAlignment="1" applyProtection="1">
      <alignment horizontal="center"/>
    </xf>
    <xf numFmtId="170" fontId="5" fillId="17" borderId="3" xfId="9" applyNumberFormat="1" applyFont="1" applyFill="1" applyBorder="1" applyAlignment="1" applyProtection="1">
      <alignment horizontal="center"/>
      <protection locked="0"/>
    </xf>
    <xf numFmtId="170" fontId="5" fillId="17" borderId="4" xfId="9" applyNumberFormat="1" applyFont="1" applyFill="1" applyBorder="1" applyAlignment="1" applyProtection="1">
      <alignment horizontal="center"/>
      <protection locked="0"/>
    </xf>
    <xf numFmtId="0" fontId="35" fillId="14" borderId="3" xfId="9" applyFont="1" applyFill="1" applyBorder="1" applyAlignment="1" applyProtection="1">
      <alignment horizontal="center" vertical="center"/>
    </xf>
    <xf numFmtId="0" fontId="35" fillId="14" borderId="11" xfId="9" applyFont="1" applyFill="1" applyBorder="1" applyAlignment="1" applyProtection="1">
      <alignment horizontal="center" vertical="center"/>
    </xf>
    <xf numFmtId="0" fontId="35" fillId="14" borderId="17" xfId="9" applyFont="1" applyFill="1" applyBorder="1" applyAlignment="1" applyProtection="1">
      <alignment horizontal="center" vertical="center"/>
    </xf>
    <xf numFmtId="0" fontId="35" fillId="14" borderId="11" xfId="9" applyFont="1" applyFill="1" applyBorder="1" applyAlignment="1" applyProtection="1">
      <alignment horizontal="center" vertical="center" wrapText="1"/>
    </xf>
    <xf numFmtId="0" fontId="35" fillId="14" borderId="4" xfId="9" applyFont="1" applyFill="1" applyBorder="1" applyAlignment="1" applyProtection="1">
      <alignment horizontal="center" vertical="center" wrapText="1"/>
    </xf>
    <xf numFmtId="171" fontId="5" fillId="17" borderId="5" xfId="9" applyNumberFormat="1" applyFont="1" applyFill="1" applyBorder="1" applyAlignment="1" applyProtection="1">
      <alignment horizontal="right"/>
      <protection locked="0"/>
    </xf>
    <xf numFmtId="172" fontId="5" fillId="17" borderId="17" xfId="10" applyNumberFormat="1" applyFont="1" applyFill="1" applyBorder="1" applyAlignment="1" applyProtection="1">
      <alignment horizontal="right"/>
      <protection locked="0"/>
    </xf>
    <xf numFmtId="15" fontId="20" fillId="14" borderId="17" xfId="9" applyNumberFormat="1" applyFont="1" applyFill="1" applyBorder="1" applyAlignment="1" applyProtection="1">
      <alignment horizontal="center"/>
    </xf>
    <xf numFmtId="169" fontId="5" fillId="14" borderId="8" xfId="9" applyNumberFormat="1" applyFont="1" applyFill="1" applyBorder="1" applyAlignment="1" applyProtection="1">
      <alignment horizontal="center"/>
    </xf>
    <xf numFmtId="171" fontId="5" fillId="17" borderId="6" xfId="9" applyNumberFormat="1" applyFont="1" applyFill="1" applyBorder="1" applyAlignment="1" applyProtection="1">
      <alignment horizontal="right"/>
      <protection locked="0"/>
    </xf>
    <xf numFmtId="172" fontId="5" fillId="17" borderId="0" xfId="10" applyNumberFormat="1" applyFont="1" applyFill="1" applyAlignment="1" applyProtection="1">
      <alignment horizontal="right"/>
      <protection locked="0"/>
    </xf>
    <xf numFmtId="15" fontId="20" fillId="14" borderId="0" xfId="9" applyNumberFormat="1" applyFont="1" applyFill="1" applyAlignment="1" applyProtection="1">
      <alignment horizontal="center"/>
    </xf>
    <xf numFmtId="169" fontId="5" fillId="14" borderId="12" xfId="9" applyNumberFormat="1" applyFont="1" applyFill="1" applyBorder="1" applyAlignment="1" applyProtection="1">
      <alignment horizontal="center"/>
    </xf>
    <xf numFmtId="171" fontId="5" fillId="17" borderId="7" xfId="9" applyNumberFormat="1" applyFont="1" applyFill="1" applyBorder="1" applyAlignment="1" applyProtection="1">
      <alignment horizontal="right"/>
      <protection locked="0"/>
    </xf>
    <xf numFmtId="172" fontId="5" fillId="17" borderId="20" xfId="10" applyNumberFormat="1" applyFont="1" applyFill="1" applyBorder="1" applyAlignment="1" applyProtection="1">
      <alignment horizontal="right"/>
      <protection locked="0"/>
    </xf>
    <xf numFmtId="15" fontId="20" fillId="14" borderId="20" xfId="9" applyNumberFormat="1" applyFont="1" applyFill="1" applyBorder="1" applyAlignment="1" applyProtection="1">
      <alignment horizontal="center"/>
    </xf>
    <xf numFmtId="169" fontId="5" fillId="14" borderId="14" xfId="9" applyNumberFormat="1" applyFont="1" applyFill="1" applyBorder="1" applyAlignment="1" applyProtection="1">
      <alignment horizontal="center"/>
    </xf>
    <xf numFmtId="172" fontId="20" fillId="0" borderId="0" xfId="9" applyNumberFormat="1" applyFont="1" applyProtection="1"/>
    <xf numFmtId="0" fontId="35" fillId="14" borderId="3" xfId="9" applyFont="1" applyFill="1" applyBorder="1" applyAlignment="1" applyProtection="1">
      <alignment horizontal="right"/>
    </xf>
    <xf numFmtId="173" fontId="35" fillId="9" borderId="1" xfId="11" applyNumberFormat="1" applyFont="1" applyFill="1" applyBorder="1" applyAlignment="1" applyProtection="1">
      <alignment horizontal="center"/>
    </xf>
    <xf numFmtId="171" fontId="5" fillId="25" borderId="0" xfId="9" applyNumberFormat="1" applyFont="1" applyFill="1" applyAlignment="1" applyProtection="1">
      <alignment horizontal="right"/>
      <protection locked="0"/>
    </xf>
    <xf numFmtId="185" fontId="5" fillId="25" borderId="0" xfId="9" applyNumberFormat="1" applyFont="1" applyFill="1" applyAlignment="1" applyProtection="1">
      <alignment horizontal="right"/>
      <protection locked="0"/>
    </xf>
    <xf numFmtId="185" fontId="5" fillId="25" borderId="0" xfId="6" applyNumberFormat="1" applyFont="1" applyFill="1" applyProtection="1">
      <protection locked="0"/>
    </xf>
    <xf numFmtId="15" fontId="5" fillId="25" borderId="0" xfId="6" applyNumberFormat="1" applyFont="1" applyFill="1" applyProtection="1">
      <protection locked="0"/>
    </xf>
    <xf numFmtId="0" fontId="20" fillId="14" borderId="18" xfId="9" applyFont="1" applyFill="1" applyBorder="1" applyAlignment="1" applyProtection="1">
      <alignment vertical="center"/>
    </xf>
    <xf numFmtId="174" fontId="20" fillId="24" borderId="18" xfId="9" applyNumberFormat="1" applyFont="1" applyFill="1" applyBorder="1" applyAlignment="1" applyProtection="1">
      <alignment vertical="center"/>
      <protection locked="0"/>
    </xf>
    <xf numFmtId="10" fontId="20" fillId="24" borderId="18" xfId="9" applyNumberFormat="1" applyFont="1" applyFill="1" applyBorder="1" applyAlignment="1" applyProtection="1">
      <alignment vertical="center"/>
      <protection locked="0"/>
    </xf>
    <xf numFmtId="175" fontId="20" fillId="14" borderId="18" xfId="13" applyNumberFormat="1" applyFont="1" applyFill="1" applyBorder="1" applyAlignment="1" applyProtection="1">
      <alignment vertical="center"/>
    </xf>
    <xf numFmtId="0" fontId="35" fillId="14" borderId="1" xfId="9" applyFont="1" applyFill="1" applyBorder="1" applyProtection="1"/>
    <xf numFmtId="10" fontId="35" fillId="9" borderId="1" xfId="11" applyNumberFormat="1" applyFont="1" applyFill="1" applyBorder="1" applyProtection="1"/>
    <xf numFmtId="0" fontId="20" fillId="14" borderId="18" xfId="9" applyFont="1" applyFill="1" applyBorder="1" applyProtection="1"/>
    <xf numFmtId="0" fontId="35" fillId="22" borderId="18" xfId="9" applyFont="1" applyFill="1" applyBorder="1" applyAlignment="1" applyProtection="1">
      <alignment horizontal="center" vertical="center"/>
    </xf>
    <xf numFmtId="0" fontId="35" fillId="18" borderId="18" xfId="9" applyFont="1" applyFill="1" applyBorder="1" applyAlignment="1" applyProtection="1">
      <alignment horizontal="center" vertical="center"/>
    </xf>
    <xf numFmtId="0" fontId="35" fillId="14" borderId="18" xfId="9" applyFont="1" applyFill="1" applyBorder="1" applyProtection="1"/>
    <xf numFmtId="3" fontId="20" fillId="14" borderId="18" xfId="9" applyNumberFormat="1" applyFont="1" applyFill="1" applyBorder="1" applyProtection="1"/>
    <xf numFmtId="179" fontId="20" fillId="14" borderId="18" xfId="13" applyNumberFormat="1" applyFont="1" applyFill="1" applyBorder="1" applyProtection="1"/>
    <xf numFmtId="179" fontId="20" fillId="0" borderId="18" xfId="13" applyNumberFormat="1" applyFont="1" applyFill="1" applyBorder="1" applyProtection="1"/>
    <xf numFmtId="165" fontId="20" fillId="14" borderId="18" xfId="11" applyNumberFormat="1" applyFont="1" applyFill="1" applyBorder="1" applyAlignment="1" applyProtection="1">
      <alignment horizontal="right" vertical="center"/>
    </xf>
    <xf numFmtId="184" fontId="20" fillId="14" borderId="18" xfId="11" applyNumberFormat="1" applyFont="1" applyFill="1" applyBorder="1" applyAlignment="1" applyProtection="1">
      <alignment horizontal="right" vertical="center"/>
    </xf>
    <xf numFmtId="10" fontId="20" fillId="14" borderId="18" xfId="9" applyNumberFormat="1" applyFont="1" applyFill="1" applyBorder="1" applyProtection="1"/>
    <xf numFmtId="10" fontId="20" fillId="14" borderId="18" xfId="11" applyNumberFormat="1" applyFont="1" applyFill="1" applyBorder="1" applyProtection="1"/>
    <xf numFmtId="10" fontId="20" fillId="0" borderId="18" xfId="11" applyNumberFormat="1" applyFont="1" applyFill="1" applyBorder="1" applyProtection="1"/>
    <xf numFmtId="0" fontId="35" fillId="23" borderId="18" xfId="9" applyFont="1" applyFill="1" applyBorder="1" applyProtection="1"/>
    <xf numFmtId="10" fontId="20" fillId="23" borderId="18" xfId="9" applyNumberFormat="1" applyFont="1" applyFill="1" applyBorder="1" applyProtection="1"/>
    <xf numFmtId="10" fontId="20" fillId="23" borderId="18" xfId="11" applyNumberFormat="1" applyFont="1" applyFill="1" applyBorder="1" applyProtection="1"/>
    <xf numFmtId="165" fontId="20" fillId="23" borderId="18" xfId="11" applyNumberFormat="1" applyFont="1" applyFill="1" applyBorder="1" applyAlignment="1" applyProtection="1">
      <alignment horizontal="right" vertical="center"/>
    </xf>
    <xf numFmtId="184" fontId="20" fillId="23" borderId="18" xfId="11" applyNumberFormat="1" applyFont="1" applyFill="1" applyBorder="1" applyAlignment="1" applyProtection="1">
      <alignment horizontal="right" vertical="center"/>
    </xf>
    <xf numFmtId="1" fontId="20" fillId="14" borderId="18" xfId="9" applyNumberFormat="1" applyFont="1" applyFill="1" applyBorder="1" applyProtection="1"/>
    <xf numFmtId="1" fontId="20" fillId="14" borderId="18" xfId="13" applyNumberFormat="1" applyFont="1" applyFill="1" applyBorder="1" applyProtection="1"/>
    <xf numFmtId="1" fontId="20" fillId="0" borderId="18" xfId="13" applyNumberFormat="1" applyFont="1" applyFill="1" applyBorder="1" applyProtection="1"/>
    <xf numFmtId="10" fontId="20" fillId="16" borderId="18" xfId="11" applyNumberFormat="1" applyFont="1" applyFill="1" applyBorder="1" applyProtection="1"/>
    <xf numFmtId="179" fontId="20" fillId="16" borderId="18" xfId="13" applyNumberFormat="1" applyFont="1" applyFill="1" applyBorder="1" applyProtection="1"/>
    <xf numFmtId="179" fontId="20" fillId="0" borderId="18" xfId="13" applyNumberFormat="1" applyFont="1" applyFill="1" applyBorder="1" applyProtection="1">
      <protection locked="0"/>
    </xf>
    <xf numFmtId="175" fontId="20" fillId="14" borderId="18" xfId="13" applyNumberFormat="1" applyFont="1" applyFill="1" applyBorder="1" applyProtection="1"/>
    <xf numFmtId="175" fontId="20" fillId="0" borderId="18" xfId="13" applyNumberFormat="1" applyFont="1" applyFill="1" applyBorder="1" applyProtection="1">
      <protection locked="0"/>
    </xf>
    <xf numFmtId="43" fontId="20" fillId="14" borderId="18" xfId="13" applyFont="1" applyFill="1" applyBorder="1" applyProtection="1"/>
    <xf numFmtId="43" fontId="20" fillId="0" borderId="18" xfId="13" applyFont="1" applyFill="1" applyBorder="1" applyProtection="1"/>
    <xf numFmtId="10" fontId="20" fillId="0" borderId="18" xfId="13" applyNumberFormat="1" applyFont="1" applyFill="1" applyBorder="1" applyProtection="1"/>
    <xf numFmtId="180" fontId="20" fillId="14" borderId="18" xfId="11" applyNumberFormat="1" applyFont="1" applyFill="1" applyBorder="1" applyAlignment="1" applyProtection="1">
      <alignment horizontal="right" vertical="center"/>
    </xf>
    <xf numFmtId="0" fontId="35" fillId="0" borderId="0" xfId="9" applyFont="1" applyProtection="1"/>
    <xf numFmtId="0" fontId="35" fillId="14" borderId="11" xfId="9" applyFont="1" applyFill="1" applyBorder="1" applyProtection="1"/>
    <xf numFmtId="0" fontId="35" fillId="14" borderId="4" xfId="9" applyFont="1" applyFill="1" applyBorder="1" applyProtection="1"/>
    <xf numFmtId="0" fontId="35" fillId="14" borderId="41" xfId="9" applyFont="1" applyFill="1" applyBorder="1" applyProtection="1"/>
    <xf numFmtId="179" fontId="20" fillId="14" borderId="25" xfId="13" applyNumberFormat="1" applyFont="1" applyFill="1" applyBorder="1" applyProtection="1"/>
    <xf numFmtId="9" fontId="20" fillId="14" borderId="42" xfId="11" applyFont="1" applyFill="1" applyBorder="1" applyProtection="1"/>
    <xf numFmtId="179" fontId="35" fillId="14" borderId="43" xfId="13" applyNumberFormat="1" applyFont="1" applyFill="1" applyBorder="1" applyProtection="1"/>
    <xf numFmtId="0" fontId="35" fillId="23" borderId="44" xfId="9" applyFont="1" applyFill="1" applyBorder="1" applyProtection="1"/>
    <xf numFmtId="3" fontId="20" fillId="23" borderId="30" xfId="13" applyNumberFormat="1" applyFont="1" applyFill="1" applyBorder="1" applyProtection="1"/>
    <xf numFmtId="165" fontId="20" fillId="23" borderId="18" xfId="11" applyNumberFormat="1" applyFont="1" applyFill="1" applyBorder="1" applyProtection="1"/>
    <xf numFmtId="179" fontId="20" fillId="14" borderId="45" xfId="13" applyNumberFormat="1" applyFont="1" applyFill="1" applyBorder="1" applyProtection="1"/>
    <xf numFmtId="0" fontId="35" fillId="23" borderId="46" xfId="9" applyFont="1" applyFill="1" applyBorder="1" applyProtection="1"/>
    <xf numFmtId="3" fontId="20" fillId="23" borderId="37" xfId="13" applyNumberFormat="1" applyFont="1" applyFill="1" applyBorder="1" applyProtection="1"/>
    <xf numFmtId="165" fontId="20" fillId="23" borderId="38" xfId="11" applyNumberFormat="1" applyFont="1" applyFill="1" applyBorder="1" applyProtection="1"/>
    <xf numFmtId="179" fontId="35" fillId="14" borderId="47" xfId="13" applyNumberFormat="1" applyFont="1" applyFill="1" applyBorder="1" applyProtection="1"/>
    <xf numFmtId="0" fontId="36" fillId="0" borderId="0" xfId="24" applyFont="1"/>
    <xf numFmtId="0" fontId="20" fillId="0" borderId="0" xfId="24" applyFont="1"/>
    <xf numFmtId="0" fontId="37" fillId="21" borderId="48" xfId="24" applyFont="1" applyFill="1" applyBorder="1" applyAlignment="1" applyProtection="1">
      <alignment vertical="center" wrapText="1"/>
    </xf>
    <xf numFmtId="177" fontId="37" fillId="21" borderId="49" xfId="25" applyNumberFormat="1" applyFont="1" applyFill="1" applyBorder="1" applyAlignment="1" applyProtection="1">
      <alignment horizontal="right" vertical="center" wrapText="1"/>
    </xf>
    <xf numFmtId="0" fontId="37" fillId="21" borderId="48" xfId="24" applyFont="1" applyFill="1" applyBorder="1" applyAlignment="1">
      <alignment vertical="center" wrapText="1"/>
    </xf>
    <xf numFmtId="177" fontId="37" fillId="21" borderId="49" xfId="25" applyNumberFormat="1" applyFont="1" applyFill="1" applyBorder="1" applyAlignment="1">
      <alignment horizontal="right" vertical="center" wrapText="1"/>
    </xf>
    <xf numFmtId="0" fontId="38" fillId="19" borderId="49" xfId="24" applyFont="1" applyFill="1" applyBorder="1" applyAlignment="1" applyProtection="1">
      <alignment vertical="center" wrapText="1"/>
    </xf>
    <xf numFmtId="177" fontId="38" fillId="20" borderId="49" xfId="25" applyNumberFormat="1" applyFont="1" applyFill="1" applyBorder="1" applyAlignment="1" applyProtection="1">
      <alignment horizontal="right" vertical="center" wrapText="1"/>
    </xf>
    <xf numFmtId="0" fontId="38" fillId="19" borderId="49" xfId="24" applyFont="1" applyFill="1" applyBorder="1" applyAlignment="1">
      <alignment vertical="center" wrapText="1"/>
    </xf>
    <xf numFmtId="177" fontId="38" fillId="20" borderId="49" xfId="25" applyNumberFormat="1" applyFont="1" applyFill="1" applyBorder="1" applyAlignment="1">
      <alignment horizontal="right" vertical="center" wrapText="1"/>
    </xf>
    <xf numFmtId="0" fontId="38" fillId="19" borderId="48" xfId="24" applyFont="1" applyFill="1" applyBorder="1" applyAlignment="1" applyProtection="1">
      <alignment vertical="center" wrapText="1"/>
    </xf>
    <xf numFmtId="177" fontId="38" fillId="20" borderId="48" xfId="25" applyNumberFormat="1" applyFont="1" applyFill="1" applyBorder="1" applyAlignment="1" applyProtection="1">
      <alignment horizontal="right" vertical="center" wrapText="1"/>
    </xf>
    <xf numFmtId="0" fontId="38" fillId="19" borderId="48" xfId="24" applyFont="1" applyFill="1" applyBorder="1" applyAlignment="1">
      <alignment vertical="center" wrapText="1"/>
    </xf>
    <xf numFmtId="177" fontId="38" fillId="20" borderId="48" xfId="25" applyNumberFormat="1" applyFont="1" applyFill="1" applyBorder="1" applyAlignment="1">
      <alignment horizontal="right" vertical="center" wrapText="1"/>
    </xf>
    <xf numFmtId="0" fontId="37" fillId="21" borderId="0" xfId="24" applyFont="1" applyFill="1" applyAlignment="1" applyProtection="1">
      <alignment vertical="center" wrapText="1"/>
    </xf>
    <xf numFmtId="0" fontId="37" fillId="21" borderId="0" xfId="24" applyFont="1" applyFill="1" applyAlignment="1">
      <alignment vertical="center" wrapText="1"/>
    </xf>
    <xf numFmtId="0" fontId="9" fillId="3" borderId="3" xfId="0" applyFont="1" applyFill="1" applyBorder="1" applyAlignment="1" applyProtection="1">
      <alignment horizontal="left"/>
    </xf>
    <xf numFmtId="0" fontId="9" fillId="3" borderId="4" xfId="0" applyFont="1" applyFill="1" applyBorder="1" applyAlignment="1" applyProtection="1">
      <alignment horizontal="left"/>
    </xf>
    <xf numFmtId="0" fontId="9" fillId="3" borderId="11" xfId="0" applyFont="1" applyFill="1" applyBorder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35" fillId="14" borderId="3" xfId="9" applyFont="1" applyFill="1" applyBorder="1" applyAlignment="1" applyProtection="1">
      <alignment horizontal="center"/>
    </xf>
    <xf numFmtId="0" fontId="35" fillId="14" borderId="11" xfId="9" applyFont="1" applyFill="1" applyBorder="1" applyAlignment="1" applyProtection="1">
      <alignment horizontal="center"/>
    </xf>
    <xf numFmtId="0" fontId="35" fillId="14" borderId="4" xfId="9" applyFont="1" applyFill="1" applyBorder="1" applyAlignment="1" applyProtection="1">
      <alignment horizontal="center"/>
    </xf>
    <xf numFmtId="0" fontId="20" fillId="24" borderId="21" xfId="9" applyFont="1" applyFill="1" applyBorder="1" applyAlignment="1" applyProtection="1">
      <alignment horizontal="center" vertical="center" wrapText="1"/>
      <protection locked="0"/>
    </xf>
    <xf numFmtId="0" fontId="20" fillId="24" borderId="22" xfId="9" applyFont="1" applyFill="1" applyBorder="1" applyAlignment="1" applyProtection="1">
      <alignment horizontal="center" vertical="center" wrapText="1"/>
      <protection locked="0"/>
    </xf>
    <xf numFmtId="0" fontId="20" fillId="24" borderId="23" xfId="9" applyFont="1" applyFill="1" applyBorder="1" applyAlignment="1" applyProtection="1">
      <alignment horizontal="center" vertical="center" wrapText="1"/>
      <protection locked="0"/>
    </xf>
    <xf numFmtId="0" fontId="20" fillId="14" borderId="18" xfId="9" applyFont="1" applyFill="1" applyBorder="1" applyAlignment="1" applyProtection="1">
      <alignment horizontal="center" vertical="center"/>
    </xf>
    <xf numFmtId="0" fontId="13" fillId="14" borderId="3" xfId="14" applyFont="1" applyFill="1" applyBorder="1" applyAlignment="1" applyProtection="1">
      <alignment horizontal="center"/>
    </xf>
    <xf numFmtId="0" fontId="13" fillId="14" borderId="11" xfId="14" applyFont="1" applyFill="1" applyBorder="1" applyAlignment="1" applyProtection="1">
      <alignment horizontal="center"/>
    </xf>
    <xf numFmtId="0" fontId="4" fillId="0" borderId="11" xfId="9" applyBorder="1" applyProtection="1"/>
    <xf numFmtId="0" fontId="13" fillId="14" borderId="4" xfId="14" applyFont="1" applyFill="1" applyBorder="1" applyAlignment="1" applyProtection="1">
      <alignment horizontal="center"/>
    </xf>
    <xf numFmtId="0" fontId="35" fillId="18" borderId="21" xfId="9" applyFont="1" applyFill="1" applyBorder="1" applyAlignment="1" applyProtection="1">
      <alignment horizontal="center" vertical="center" wrapText="1"/>
    </xf>
    <xf numFmtId="0" fontId="35" fillId="18" borderId="23" xfId="9" applyFont="1" applyFill="1" applyBorder="1" applyAlignment="1" applyProtection="1">
      <alignment horizontal="center" vertical="center" wrapText="1"/>
    </xf>
    <xf numFmtId="0" fontId="35" fillId="22" borderId="21" xfId="9" applyFont="1" applyFill="1" applyBorder="1" applyAlignment="1" applyProtection="1">
      <alignment horizontal="center" vertical="center" wrapText="1"/>
    </xf>
    <xf numFmtId="0" fontId="35" fillId="22" borderId="23" xfId="9" applyFont="1" applyFill="1" applyBorder="1" applyAlignment="1" applyProtection="1">
      <alignment horizontal="center" vertical="center" wrapText="1"/>
    </xf>
  </cellXfs>
  <cellStyles count="31">
    <cellStyle name="Comma 2" xfId="13" xr:uid="{77797AD2-88A1-4A92-B9E3-F3251F868EF6}"/>
    <cellStyle name="Comma 3" xfId="19" xr:uid="{D6329368-ACF6-4261-BC1E-14C06FE01DC7}"/>
    <cellStyle name="Comma 4" xfId="27" xr:uid="{A09CCF9D-8465-4F1E-8B32-F76B31FE2B34}"/>
    <cellStyle name="Currency 2" xfId="15" xr:uid="{67E1AF72-C1A6-46EB-9D2F-D71751096718}"/>
    <cellStyle name="Currency 2 2" xfId="16" xr:uid="{1DBA5647-5648-4509-9C94-EA289C29A9A8}"/>
    <cellStyle name="Currency 2 3" xfId="22" xr:uid="{3F2B34A0-A10A-4503-A0C7-78511EEDD0B5}"/>
    <cellStyle name="Currency 2 4" xfId="29" xr:uid="{0919AD0D-C589-46E8-ADFD-325B543FE2F2}"/>
    <cellStyle name="Currency 3" xfId="23" xr:uid="{4279D521-13DD-45E8-BE1F-0F3D836C54F8}"/>
    <cellStyle name="Currency 4" xfId="25" xr:uid="{3ADCC1D4-612F-4F22-A76A-B722F919D1C6}"/>
    <cellStyle name="Currency 5" xfId="30" xr:uid="{116ABD6C-CE1B-4E81-8CF1-03CE8530CEEA}"/>
    <cellStyle name="Hyperlink" xfId="1" builtinId="8"/>
    <cellStyle name="Hyperlink 2" xfId="12" xr:uid="{691667CD-0190-41AD-8D57-20EEEC92BC8A}"/>
    <cellStyle name="Hyperlink 2 2" xfId="20" xr:uid="{BEBDCA34-3217-4B62-B444-6777C6037C9D}"/>
    <cellStyle name="Normal" xfId="0" builtinId="0"/>
    <cellStyle name="Normal 2" xfId="2" xr:uid="{00000000-0005-0000-0000-000002000000}"/>
    <cellStyle name="Normal 2 2" xfId="6" xr:uid="{00000000-0005-0000-0000-000003000000}"/>
    <cellStyle name="Normal 3" xfId="9" xr:uid="{B48E7C38-75C0-4D32-9339-BE1B33192CB5}"/>
    <cellStyle name="Normal 3 2" xfId="10" xr:uid="{EFC0E257-5B48-4881-A64D-09D30507F2FC}"/>
    <cellStyle name="Normal 4" xfId="14" xr:uid="{B81EA76F-5EED-4EBB-8F97-F9CF073BC612}"/>
    <cellStyle name="Normal 5" xfId="18" xr:uid="{8CC77D6F-005E-42A7-927E-92C19E2337F1}"/>
    <cellStyle name="Normal 6" xfId="24" xr:uid="{7E5B44AF-2877-4DBC-B33D-51B48EDF0A7C}"/>
    <cellStyle name="Normal 7" xfId="26" xr:uid="{FC3E11C2-F25D-4DB3-8EB1-8869A89AA19E}"/>
    <cellStyle name="Percent" xfId="3" builtinId="5"/>
    <cellStyle name="Percent 2" xfId="4" xr:uid="{00000000-0005-0000-0000-000005000000}"/>
    <cellStyle name="Percent 2 2" xfId="7" xr:uid="{00000000-0005-0000-0000-000006000000}"/>
    <cellStyle name="Percent 2 3" xfId="17" xr:uid="{1F459D9F-1721-47EA-BEAA-8B234F7E0B05}"/>
    <cellStyle name="Percent 3" xfId="5" xr:uid="{00000000-0005-0000-0000-000007000000}"/>
    <cellStyle name="Percent 3 2" xfId="8" xr:uid="{00000000-0005-0000-0000-000008000000}"/>
    <cellStyle name="Percent 4" xfId="11" xr:uid="{98BE6C31-CED8-4DFE-94D5-1C5DD457103C}"/>
    <cellStyle name="Percent 5" xfId="21" xr:uid="{8BD5EB65-634B-46D8-BADA-8CA397E7B7BD}"/>
    <cellStyle name="Percent 6" xfId="28" xr:uid="{988F1EFA-B93B-4418-B345-40F1BD8A836F}"/>
  </cellStyles>
  <dxfs count="0"/>
  <tableStyles count="0" defaultTableStyle="TableStyleMedium9" defaultPivotStyle="PivotStyleLight16"/>
  <colors>
    <mruColors>
      <color rgb="FFA1D978"/>
      <color rgb="FF00FFFF"/>
      <color rgb="FF66FFFF"/>
      <color rgb="FFFE5F55"/>
      <color rgb="FF702F73"/>
      <color rgb="FF777DA7"/>
      <color rgb="FFFFD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6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404928660980205E-2"/>
          <c:y val="5.4320987654320987E-2"/>
          <c:w val="0.87283832140210327"/>
          <c:h val="0.5821945341401451"/>
        </c:manualLayout>
      </c:layout>
      <c:lineChart>
        <c:grouping val="standard"/>
        <c:varyColors val="0"/>
        <c:ser>
          <c:idx val="0"/>
          <c:order val="0"/>
          <c:tx>
            <c:strRef>
              <c:f>'Graph historical bond yields'!$D$32</c:f>
              <c:strCache>
                <c:ptCount val="1"/>
                <c:pt idx="0">
                  <c:v>Treasury Bond 155</c:v>
                </c:pt>
              </c:strCache>
            </c:strRef>
          </c:tx>
          <c:spPr>
            <a:ln w="25400" cap="rnd">
              <a:solidFill>
                <a:srgbClr val="702F73"/>
              </a:solidFill>
              <a:round/>
            </a:ln>
            <a:effectLst/>
          </c:spPr>
          <c:marker>
            <c:symbol val="none"/>
          </c:marker>
          <c:cat>
            <c:numRef>
              <c:f>'Graph historical bond yields'!$C$33:$C$159</c:f>
              <c:numCache>
                <c:formatCode>dd\-mmm\-yyyy</c:formatCode>
                <c:ptCount val="127"/>
                <c:pt idx="0">
                  <c:v>43964</c:v>
                </c:pt>
                <c:pt idx="1">
                  <c:v>43965</c:v>
                </c:pt>
                <c:pt idx="2">
                  <c:v>43966</c:v>
                </c:pt>
                <c:pt idx="3">
                  <c:v>43969</c:v>
                </c:pt>
                <c:pt idx="4">
                  <c:v>43970</c:v>
                </c:pt>
                <c:pt idx="5">
                  <c:v>43971</c:v>
                </c:pt>
                <c:pt idx="6">
                  <c:v>43972</c:v>
                </c:pt>
                <c:pt idx="7">
                  <c:v>43973</c:v>
                </c:pt>
                <c:pt idx="8">
                  <c:v>43976</c:v>
                </c:pt>
                <c:pt idx="9">
                  <c:v>43977</c:v>
                </c:pt>
                <c:pt idx="10">
                  <c:v>43978</c:v>
                </c:pt>
                <c:pt idx="11">
                  <c:v>43979</c:v>
                </c:pt>
                <c:pt idx="12">
                  <c:v>43980</c:v>
                </c:pt>
                <c:pt idx="13">
                  <c:v>43983</c:v>
                </c:pt>
                <c:pt idx="14">
                  <c:v>43984</c:v>
                </c:pt>
                <c:pt idx="15">
                  <c:v>43985</c:v>
                </c:pt>
                <c:pt idx="16">
                  <c:v>43986</c:v>
                </c:pt>
                <c:pt idx="17">
                  <c:v>43987</c:v>
                </c:pt>
                <c:pt idx="18">
                  <c:v>43991</c:v>
                </c:pt>
                <c:pt idx="19">
                  <c:v>43992</c:v>
                </c:pt>
                <c:pt idx="20">
                  <c:v>43993</c:v>
                </c:pt>
                <c:pt idx="21">
                  <c:v>43994</c:v>
                </c:pt>
                <c:pt idx="22">
                  <c:v>43997</c:v>
                </c:pt>
                <c:pt idx="23">
                  <c:v>43998</c:v>
                </c:pt>
                <c:pt idx="24">
                  <c:v>43999</c:v>
                </c:pt>
                <c:pt idx="25">
                  <c:v>44000</c:v>
                </c:pt>
                <c:pt idx="26">
                  <c:v>44001</c:v>
                </c:pt>
                <c:pt idx="27">
                  <c:v>44004</c:v>
                </c:pt>
                <c:pt idx="28">
                  <c:v>44005</c:v>
                </c:pt>
                <c:pt idx="29">
                  <c:v>44006</c:v>
                </c:pt>
                <c:pt idx="30">
                  <c:v>44007</c:v>
                </c:pt>
                <c:pt idx="31">
                  <c:v>44008</c:v>
                </c:pt>
                <c:pt idx="32">
                  <c:v>44011</c:v>
                </c:pt>
                <c:pt idx="33">
                  <c:v>44012</c:v>
                </c:pt>
                <c:pt idx="34">
                  <c:v>44013</c:v>
                </c:pt>
                <c:pt idx="35">
                  <c:v>44014</c:v>
                </c:pt>
                <c:pt idx="36">
                  <c:v>44015</c:v>
                </c:pt>
                <c:pt idx="37">
                  <c:v>44018</c:v>
                </c:pt>
                <c:pt idx="38">
                  <c:v>44019</c:v>
                </c:pt>
                <c:pt idx="39">
                  <c:v>44020</c:v>
                </c:pt>
                <c:pt idx="40">
                  <c:v>44021</c:v>
                </c:pt>
                <c:pt idx="41">
                  <c:v>44022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44032</c:v>
                </c:pt>
                <c:pt idx="48">
                  <c:v>44033</c:v>
                </c:pt>
                <c:pt idx="49">
                  <c:v>44034</c:v>
                </c:pt>
                <c:pt idx="50">
                  <c:v>44035</c:v>
                </c:pt>
                <c:pt idx="51">
                  <c:v>44036</c:v>
                </c:pt>
                <c:pt idx="52">
                  <c:v>44039</c:v>
                </c:pt>
                <c:pt idx="53">
                  <c:v>44040</c:v>
                </c:pt>
                <c:pt idx="54">
                  <c:v>44041</c:v>
                </c:pt>
                <c:pt idx="55">
                  <c:v>44042</c:v>
                </c:pt>
                <c:pt idx="56">
                  <c:v>44043</c:v>
                </c:pt>
                <c:pt idx="57">
                  <c:v>44047</c:v>
                </c:pt>
                <c:pt idx="58">
                  <c:v>44048</c:v>
                </c:pt>
                <c:pt idx="59">
                  <c:v>44049</c:v>
                </c:pt>
                <c:pt idx="60">
                  <c:v>44050</c:v>
                </c:pt>
                <c:pt idx="61">
                  <c:v>44053</c:v>
                </c:pt>
                <c:pt idx="62">
                  <c:v>44054</c:v>
                </c:pt>
                <c:pt idx="63">
                  <c:v>44055</c:v>
                </c:pt>
                <c:pt idx="64">
                  <c:v>44056</c:v>
                </c:pt>
                <c:pt idx="65">
                  <c:v>44057</c:v>
                </c:pt>
                <c:pt idx="66">
                  <c:v>44060</c:v>
                </c:pt>
                <c:pt idx="67">
                  <c:v>44061</c:v>
                </c:pt>
                <c:pt idx="68">
                  <c:v>44062</c:v>
                </c:pt>
                <c:pt idx="69">
                  <c:v>44063</c:v>
                </c:pt>
                <c:pt idx="70">
                  <c:v>44064</c:v>
                </c:pt>
                <c:pt idx="71">
                  <c:v>44067</c:v>
                </c:pt>
                <c:pt idx="72">
                  <c:v>44068</c:v>
                </c:pt>
                <c:pt idx="73">
                  <c:v>44069</c:v>
                </c:pt>
                <c:pt idx="74">
                  <c:v>44070</c:v>
                </c:pt>
                <c:pt idx="75">
                  <c:v>44071</c:v>
                </c:pt>
                <c:pt idx="76">
                  <c:v>44074</c:v>
                </c:pt>
                <c:pt idx="77">
                  <c:v>44075</c:v>
                </c:pt>
                <c:pt idx="78">
                  <c:v>44076</c:v>
                </c:pt>
                <c:pt idx="79">
                  <c:v>44077</c:v>
                </c:pt>
                <c:pt idx="80">
                  <c:v>44078</c:v>
                </c:pt>
                <c:pt idx="81">
                  <c:v>44081</c:v>
                </c:pt>
                <c:pt idx="82">
                  <c:v>44082</c:v>
                </c:pt>
                <c:pt idx="83">
                  <c:v>44083</c:v>
                </c:pt>
                <c:pt idx="84">
                  <c:v>44084</c:v>
                </c:pt>
                <c:pt idx="85">
                  <c:v>44085</c:v>
                </c:pt>
                <c:pt idx="86">
                  <c:v>44088</c:v>
                </c:pt>
                <c:pt idx="87">
                  <c:v>44089</c:v>
                </c:pt>
                <c:pt idx="88">
                  <c:v>44090</c:v>
                </c:pt>
                <c:pt idx="89">
                  <c:v>44091</c:v>
                </c:pt>
                <c:pt idx="90">
                  <c:v>44092</c:v>
                </c:pt>
                <c:pt idx="91">
                  <c:v>44095</c:v>
                </c:pt>
                <c:pt idx="92">
                  <c:v>44096</c:v>
                </c:pt>
                <c:pt idx="93">
                  <c:v>44097</c:v>
                </c:pt>
                <c:pt idx="94">
                  <c:v>44098</c:v>
                </c:pt>
                <c:pt idx="95">
                  <c:v>44099</c:v>
                </c:pt>
                <c:pt idx="96">
                  <c:v>44102</c:v>
                </c:pt>
                <c:pt idx="97">
                  <c:v>44103</c:v>
                </c:pt>
                <c:pt idx="98">
                  <c:v>44104</c:v>
                </c:pt>
                <c:pt idx="99">
                  <c:v>44105</c:v>
                </c:pt>
                <c:pt idx="100">
                  <c:v>44106</c:v>
                </c:pt>
                <c:pt idx="101">
                  <c:v>44110</c:v>
                </c:pt>
                <c:pt idx="102" formatCode="d\-mmm\-yy">
                  <c:v>44111</c:v>
                </c:pt>
                <c:pt idx="103" formatCode="d\-mmm\-yy">
                  <c:v>44112</c:v>
                </c:pt>
                <c:pt idx="104" formatCode="d\-mmm\-yy">
                  <c:v>44113</c:v>
                </c:pt>
                <c:pt idx="105" formatCode="d\-mmm\-yy">
                  <c:v>44116</c:v>
                </c:pt>
                <c:pt idx="106" formatCode="d\-mmm\-yy">
                  <c:v>44117</c:v>
                </c:pt>
                <c:pt idx="107" formatCode="d\-mmm\-yy">
                  <c:v>44118</c:v>
                </c:pt>
                <c:pt idx="108" formatCode="d\-mmm\-yy">
                  <c:v>44119</c:v>
                </c:pt>
                <c:pt idx="109" formatCode="d\-mmm\-yy">
                  <c:v>44120</c:v>
                </c:pt>
                <c:pt idx="110" formatCode="d\-mmm\-yy">
                  <c:v>44123</c:v>
                </c:pt>
                <c:pt idx="111" formatCode="d\-mmm\-yy">
                  <c:v>44124</c:v>
                </c:pt>
                <c:pt idx="112" formatCode="d\-mmm\-yy">
                  <c:v>44125</c:v>
                </c:pt>
                <c:pt idx="113" formatCode="d\-mmm\-yy">
                  <c:v>44126</c:v>
                </c:pt>
                <c:pt idx="114" formatCode="d\-mmm\-yy">
                  <c:v>44127</c:v>
                </c:pt>
                <c:pt idx="115" formatCode="d\-mmm\-yy">
                  <c:v>44130</c:v>
                </c:pt>
                <c:pt idx="116" formatCode="d\-mmm\-yy">
                  <c:v>44131</c:v>
                </c:pt>
                <c:pt idx="117" formatCode="d\-mmm\-yy">
                  <c:v>44132</c:v>
                </c:pt>
                <c:pt idx="118" formatCode="d\-mmm\-yy">
                  <c:v>44133</c:v>
                </c:pt>
                <c:pt idx="119" formatCode="d\-mmm\-yy">
                  <c:v>44134</c:v>
                </c:pt>
                <c:pt idx="120" formatCode="d\-mmm\-yy">
                  <c:v>44137</c:v>
                </c:pt>
                <c:pt idx="121" formatCode="d\-mmm\-yy">
                  <c:v>44138</c:v>
                </c:pt>
                <c:pt idx="122" formatCode="d\-mmm\-yy">
                  <c:v>44139</c:v>
                </c:pt>
                <c:pt idx="123" formatCode="d\-mmm\-yy">
                  <c:v>44140</c:v>
                </c:pt>
                <c:pt idx="124" formatCode="d\-mmm\-yy">
                  <c:v>44141</c:v>
                </c:pt>
                <c:pt idx="125" formatCode="d\-mmm\-yy">
                  <c:v>44144</c:v>
                </c:pt>
                <c:pt idx="126" formatCode="d\-mmm\-yy">
                  <c:v>44145</c:v>
                </c:pt>
              </c:numCache>
            </c:numRef>
          </c:cat>
          <c:val>
            <c:numRef>
              <c:f>'Graph historical bond yields'!$D$33:$D$159</c:f>
              <c:numCache>
                <c:formatCode>#,##0.0000</c:formatCode>
                <c:ptCount val="127"/>
                <c:pt idx="0">
                  <c:v>9.5999999999999992E-3</c:v>
                </c:pt>
                <c:pt idx="1">
                  <c:v>9.0000000000000011E-3</c:v>
                </c:pt>
                <c:pt idx="2">
                  <c:v>9.1000000000000004E-3</c:v>
                </c:pt>
                <c:pt idx="3">
                  <c:v>9.1000000000000004E-3</c:v>
                </c:pt>
                <c:pt idx="4">
                  <c:v>9.7999999999999997E-3</c:v>
                </c:pt>
                <c:pt idx="5">
                  <c:v>9.4999999999999998E-3</c:v>
                </c:pt>
                <c:pt idx="6">
                  <c:v>9.1500000000000001E-3</c:v>
                </c:pt>
                <c:pt idx="7">
                  <c:v>8.6999999999999994E-3</c:v>
                </c:pt>
                <c:pt idx="8">
                  <c:v>8.6E-3</c:v>
                </c:pt>
                <c:pt idx="9">
                  <c:v>8.8500000000000002E-3</c:v>
                </c:pt>
                <c:pt idx="10">
                  <c:v>8.8000000000000005E-3</c:v>
                </c:pt>
                <c:pt idx="11">
                  <c:v>8.8000000000000005E-3</c:v>
                </c:pt>
                <c:pt idx="12">
                  <c:v>8.8500000000000002E-3</c:v>
                </c:pt>
                <c:pt idx="13">
                  <c:v>8.9499999999999996E-3</c:v>
                </c:pt>
                <c:pt idx="14">
                  <c:v>9.0500000000000008E-3</c:v>
                </c:pt>
                <c:pt idx="15">
                  <c:v>9.6499999999999989E-3</c:v>
                </c:pt>
                <c:pt idx="16">
                  <c:v>1.0200000000000001E-2</c:v>
                </c:pt>
                <c:pt idx="17">
                  <c:v>1.09E-2</c:v>
                </c:pt>
                <c:pt idx="18">
                  <c:v>1.0500000000000001E-2</c:v>
                </c:pt>
                <c:pt idx="19">
                  <c:v>1.0200000000000001E-2</c:v>
                </c:pt>
                <c:pt idx="20">
                  <c:v>9.1999999999999998E-3</c:v>
                </c:pt>
                <c:pt idx="21">
                  <c:v>9.1000000000000004E-3</c:v>
                </c:pt>
                <c:pt idx="22">
                  <c:v>8.6E-3</c:v>
                </c:pt>
                <c:pt idx="23">
                  <c:v>9.1500000000000001E-3</c:v>
                </c:pt>
                <c:pt idx="24">
                  <c:v>9.1500000000000001E-3</c:v>
                </c:pt>
                <c:pt idx="25">
                  <c:v>8.8000000000000005E-3</c:v>
                </c:pt>
                <c:pt idx="26">
                  <c:v>8.6E-3</c:v>
                </c:pt>
                <c:pt idx="27">
                  <c:v>8.6499999999999997E-3</c:v>
                </c:pt>
                <c:pt idx="28">
                  <c:v>9.0000000000000011E-3</c:v>
                </c:pt>
                <c:pt idx="29">
                  <c:v>9.1999999999999998E-3</c:v>
                </c:pt>
                <c:pt idx="30">
                  <c:v>8.8000000000000005E-3</c:v>
                </c:pt>
                <c:pt idx="31">
                  <c:v>8.6499999999999997E-3</c:v>
                </c:pt>
                <c:pt idx="32">
                  <c:v>8.8000000000000005E-3</c:v>
                </c:pt>
                <c:pt idx="33">
                  <c:v>8.6999999999999994E-3</c:v>
                </c:pt>
                <c:pt idx="34">
                  <c:v>9.3500000000000007E-3</c:v>
                </c:pt>
                <c:pt idx="35">
                  <c:v>9.1999999999999998E-3</c:v>
                </c:pt>
                <c:pt idx="36">
                  <c:v>9.0500000000000008E-3</c:v>
                </c:pt>
                <c:pt idx="37">
                  <c:v>9.1999999999999998E-3</c:v>
                </c:pt>
                <c:pt idx="38">
                  <c:v>8.8500000000000002E-3</c:v>
                </c:pt>
                <c:pt idx="39">
                  <c:v>8.6999999999999994E-3</c:v>
                </c:pt>
                <c:pt idx="40">
                  <c:v>9.0000000000000011E-3</c:v>
                </c:pt>
                <c:pt idx="41">
                  <c:v>8.6E-3</c:v>
                </c:pt>
                <c:pt idx="42">
                  <c:v>9.0000000000000011E-3</c:v>
                </c:pt>
                <c:pt idx="43">
                  <c:v>9.1000000000000004E-3</c:v>
                </c:pt>
                <c:pt idx="44">
                  <c:v>8.6999999999999994E-3</c:v>
                </c:pt>
                <c:pt idx="45">
                  <c:v>8.8000000000000005E-3</c:v>
                </c:pt>
                <c:pt idx="46">
                  <c:v>8.6499999999999997E-3</c:v>
                </c:pt>
                <c:pt idx="47">
                  <c:v>8.8500000000000002E-3</c:v>
                </c:pt>
                <c:pt idx="48">
                  <c:v>8.6499999999999997E-3</c:v>
                </c:pt>
                <c:pt idx="49">
                  <c:v>8.8500000000000002E-3</c:v>
                </c:pt>
                <c:pt idx="50">
                  <c:v>8.6E-3</c:v>
                </c:pt>
                <c:pt idx="51">
                  <c:v>8.6499999999999997E-3</c:v>
                </c:pt>
                <c:pt idx="52">
                  <c:v>8.8500000000000002E-3</c:v>
                </c:pt>
                <c:pt idx="53">
                  <c:v>9.1999999999999998E-3</c:v>
                </c:pt>
                <c:pt idx="54">
                  <c:v>8.7500000000000008E-3</c:v>
                </c:pt>
                <c:pt idx="55">
                  <c:v>8.5500000000000003E-3</c:v>
                </c:pt>
                <c:pt idx="56">
                  <c:v>8.1499999999999993E-3</c:v>
                </c:pt>
                <c:pt idx="57">
                  <c:v>8.3000000000000001E-3</c:v>
                </c:pt>
                <c:pt idx="58">
                  <c:v>8.199999999999999E-3</c:v>
                </c:pt>
                <c:pt idx="59">
                  <c:v>8.5000000000000006E-3</c:v>
                </c:pt>
                <c:pt idx="60">
                  <c:v>8.3000000000000001E-3</c:v>
                </c:pt>
                <c:pt idx="61">
                  <c:v>8.6E-3</c:v>
                </c:pt>
                <c:pt idx="62">
                  <c:v>8.6499999999999997E-3</c:v>
                </c:pt>
                <c:pt idx="63">
                  <c:v>9.1500000000000001E-3</c:v>
                </c:pt>
                <c:pt idx="64">
                  <c:v>8.8500000000000002E-3</c:v>
                </c:pt>
                <c:pt idx="65">
                  <c:v>9.300000000000001E-3</c:v>
                </c:pt>
                <c:pt idx="66">
                  <c:v>8.9499999999999996E-3</c:v>
                </c:pt>
                <c:pt idx="67">
                  <c:v>8.6999999999999994E-3</c:v>
                </c:pt>
                <c:pt idx="68">
                  <c:v>8.6499999999999997E-3</c:v>
                </c:pt>
                <c:pt idx="69">
                  <c:v>8.5500000000000003E-3</c:v>
                </c:pt>
                <c:pt idx="70">
                  <c:v>8.8000000000000005E-3</c:v>
                </c:pt>
                <c:pt idx="71">
                  <c:v>8.5500000000000003E-3</c:v>
                </c:pt>
                <c:pt idx="72">
                  <c:v>8.8500000000000002E-3</c:v>
                </c:pt>
                <c:pt idx="73">
                  <c:v>9.4999999999999998E-3</c:v>
                </c:pt>
                <c:pt idx="74">
                  <c:v>9.1500000000000001E-3</c:v>
                </c:pt>
                <c:pt idx="75">
                  <c:v>1.0200000000000001E-2</c:v>
                </c:pt>
                <c:pt idx="76">
                  <c:v>9.7999999999999997E-3</c:v>
                </c:pt>
                <c:pt idx="77">
                  <c:v>9.7000000000000003E-3</c:v>
                </c:pt>
                <c:pt idx="78">
                  <c:v>9.300000000000001E-3</c:v>
                </c:pt>
                <c:pt idx="79">
                  <c:v>9.1000000000000004E-3</c:v>
                </c:pt>
                <c:pt idx="80">
                  <c:v>8.8999999999999999E-3</c:v>
                </c:pt>
                <c:pt idx="81">
                  <c:v>9.7000000000000003E-3</c:v>
                </c:pt>
                <c:pt idx="82">
                  <c:v>9.7000000000000003E-3</c:v>
                </c:pt>
                <c:pt idx="83">
                  <c:v>8.8999999999999999E-3</c:v>
                </c:pt>
                <c:pt idx="84">
                  <c:v>9.300000000000001E-3</c:v>
                </c:pt>
                <c:pt idx="85">
                  <c:v>9.1000000000000004E-3</c:v>
                </c:pt>
                <c:pt idx="86">
                  <c:v>8.6999999999999994E-3</c:v>
                </c:pt>
                <c:pt idx="87">
                  <c:v>8.6499999999999997E-3</c:v>
                </c:pt>
                <c:pt idx="88">
                  <c:v>8.6499999999999997E-3</c:v>
                </c:pt>
                <c:pt idx="89">
                  <c:v>8.4499999999999992E-3</c:v>
                </c:pt>
                <c:pt idx="90">
                  <c:v>8.8500000000000002E-3</c:v>
                </c:pt>
                <c:pt idx="91">
                  <c:v>8.5000000000000006E-3</c:v>
                </c:pt>
                <c:pt idx="92">
                  <c:v>8.2500000000000004E-3</c:v>
                </c:pt>
                <c:pt idx="93">
                  <c:v>8.0499999999999999E-3</c:v>
                </c:pt>
                <c:pt idx="94">
                  <c:v>8.0000000000000002E-3</c:v>
                </c:pt>
                <c:pt idx="95">
                  <c:v>7.9500000000000005E-3</c:v>
                </c:pt>
                <c:pt idx="96">
                  <c:v>7.7000000000000002E-3</c:v>
                </c:pt>
                <c:pt idx="97">
                  <c:v>7.7499999999999999E-3</c:v>
                </c:pt>
                <c:pt idx="98">
                  <c:v>7.8500000000000011E-3</c:v>
                </c:pt>
                <c:pt idx="99">
                  <c:v>8.4499999999999992E-3</c:v>
                </c:pt>
                <c:pt idx="100">
                  <c:v>7.8000000000000005E-3</c:v>
                </c:pt>
                <c:pt idx="101">
                  <c:v>8.3000000000000001E-3</c:v>
                </c:pt>
                <c:pt idx="102">
                  <c:v>7.9000000000000008E-3</c:v>
                </c:pt>
                <c:pt idx="103">
                  <c:v>8.1499999999999993E-3</c:v>
                </c:pt>
                <c:pt idx="104">
                  <c:v>8.0000000000000002E-3</c:v>
                </c:pt>
                <c:pt idx="105">
                  <c:v>7.9500000000000005E-3</c:v>
                </c:pt>
                <c:pt idx="106">
                  <c:v>7.9500000000000005E-3</c:v>
                </c:pt>
                <c:pt idx="107">
                  <c:v>7.8500000000000011E-3</c:v>
                </c:pt>
                <c:pt idx="108">
                  <c:v>7.0999999999999995E-3</c:v>
                </c:pt>
                <c:pt idx="109">
                  <c:v>6.7000000000000002E-3</c:v>
                </c:pt>
                <c:pt idx="110">
                  <c:v>6.9999999999999993E-3</c:v>
                </c:pt>
                <c:pt idx="111">
                  <c:v>7.0499999999999998E-3</c:v>
                </c:pt>
                <c:pt idx="112">
                  <c:v>7.4999999999999997E-3</c:v>
                </c:pt>
                <c:pt idx="113">
                  <c:v>7.6E-3</c:v>
                </c:pt>
                <c:pt idx="114">
                  <c:v>8.0499999999999999E-3</c:v>
                </c:pt>
                <c:pt idx="115">
                  <c:v>7.5500000000000003E-3</c:v>
                </c:pt>
                <c:pt idx="116">
                  <c:v>7.4999999999999997E-3</c:v>
                </c:pt>
                <c:pt idx="117">
                  <c:v>7.3000000000000001E-3</c:v>
                </c:pt>
                <c:pt idx="118">
                  <c:v>7.6E-3</c:v>
                </c:pt>
                <c:pt idx="119">
                  <c:v>7.7499999999999999E-3</c:v>
                </c:pt>
                <c:pt idx="120">
                  <c:v>7.7000000000000002E-3</c:v>
                </c:pt>
                <c:pt idx="121">
                  <c:v>7.1999999999999998E-3</c:v>
                </c:pt>
                <c:pt idx="122">
                  <c:v>7.4000000000000003E-3</c:v>
                </c:pt>
                <c:pt idx="123">
                  <c:v>6.8999999999999999E-3</c:v>
                </c:pt>
                <c:pt idx="124">
                  <c:v>6.9999999999999993E-3</c:v>
                </c:pt>
                <c:pt idx="125">
                  <c:v>7.1500000000000001E-3</c:v>
                </c:pt>
                <c:pt idx="126">
                  <c:v>8.6E-3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E-4BE1-BA4F-10A1D0525696}"/>
            </c:ext>
          </c:extLst>
        </c:ser>
        <c:ser>
          <c:idx val="1"/>
          <c:order val="1"/>
          <c:tx>
            <c:strRef>
              <c:f>'Graph historical bond yields'!$E$32</c:f>
              <c:strCache>
                <c:ptCount val="1"/>
                <c:pt idx="0">
                  <c:v>Treasury Bond 160</c:v>
                </c:pt>
              </c:strCache>
            </c:strRef>
          </c:tx>
          <c:spPr>
            <a:ln w="25400" cap="rnd">
              <a:solidFill>
                <a:srgbClr val="777DA7"/>
              </a:solidFill>
              <a:round/>
            </a:ln>
            <a:effectLst/>
          </c:spPr>
          <c:marker>
            <c:symbol val="none"/>
          </c:marker>
          <c:dPt>
            <c:idx val="109"/>
            <c:bubble3D val="0"/>
            <c:spPr>
              <a:ln w="19050" cap="rnd">
                <a:solidFill>
                  <a:srgbClr val="777DA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56D-4AB8-8470-8FBC38EC41D5}"/>
              </c:ext>
            </c:extLst>
          </c:dPt>
          <c:cat>
            <c:numRef>
              <c:f>'Graph historical bond yields'!$C$33:$C$159</c:f>
              <c:numCache>
                <c:formatCode>dd\-mmm\-yyyy</c:formatCode>
                <c:ptCount val="127"/>
                <c:pt idx="0">
                  <c:v>43964</c:v>
                </c:pt>
                <c:pt idx="1">
                  <c:v>43965</c:v>
                </c:pt>
                <c:pt idx="2">
                  <c:v>43966</c:v>
                </c:pt>
                <c:pt idx="3">
                  <c:v>43969</c:v>
                </c:pt>
                <c:pt idx="4">
                  <c:v>43970</c:v>
                </c:pt>
                <c:pt idx="5">
                  <c:v>43971</c:v>
                </c:pt>
                <c:pt idx="6">
                  <c:v>43972</c:v>
                </c:pt>
                <c:pt idx="7">
                  <c:v>43973</c:v>
                </c:pt>
                <c:pt idx="8">
                  <c:v>43976</c:v>
                </c:pt>
                <c:pt idx="9">
                  <c:v>43977</c:v>
                </c:pt>
                <c:pt idx="10">
                  <c:v>43978</c:v>
                </c:pt>
                <c:pt idx="11">
                  <c:v>43979</c:v>
                </c:pt>
                <c:pt idx="12">
                  <c:v>43980</c:v>
                </c:pt>
                <c:pt idx="13">
                  <c:v>43983</c:v>
                </c:pt>
                <c:pt idx="14">
                  <c:v>43984</c:v>
                </c:pt>
                <c:pt idx="15">
                  <c:v>43985</c:v>
                </c:pt>
                <c:pt idx="16">
                  <c:v>43986</c:v>
                </c:pt>
                <c:pt idx="17">
                  <c:v>43987</c:v>
                </c:pt>
                <c:pt idx="18">
                  <c:v>43991</c:v>
                </c:pt>
                <c:pt idx="19">
                  <c:v>43992</c:v>
                </c:pt>
                <c:pt idx="20">
                  <c:v>43993</c:v>
                </c:pt>
                <c:pt idx="21">
                  <c:v>43994</c:v>
                </c:pt>
                <c:pt idx="22">
                  <c:v>43997</c:v>
                </c:pt>
                <c:pt idx="23">
                  <c:v>43998</c:v>
                </c:pt>
                <c:pt idx="24">
                  <c:v>43999</c:v>
                </c:pt>
                <c:pt idx="25">
                  <c:v>44000</c:v>
                </c:pt>
                <c:pt idx="26">
                  <c:v>44001</c:v>
                </c:pt>
                <c:pt idx="27">
                  <c:v>44004</c:v>
                </c:pt>
                <c:pt idx="28">
                  <c:v>44005</c:v>
                </c:pt>
                <c:pt idx="29">
                  <c:v>44006</c:v>
                </c:pt>
                <c:pt idx="30">
                  <c:v>44007</c:v>
                </c:pt>
                <c:pt idx="31">
                  <c:v>44008</c:v>
                </c:pt>
                <c:pt idx="32">
                  <c:v>44011</c:v>
                </c:pt>
                <c:pt idx="33">
                  <c:v>44012</c:v>
                </c:pt>
                <c:pt idx="34">
                  <c:v>44013</c:v>
                </c:pt>
                <c:pt idx="35">
                  <c:v>44014</c:v>
                </c:pt>
                <c:pt idx="36">
                  <c:v>44015</c:v>
                </c:pt>
                <c:pt idx="37">
                  <c:v>44018</c:v>
                </c:pt>
                <c:pt idx="38">
                  <c:v>44019</c:v>
                </c:pt>
                <c:pt idx="39">
                  <c:v>44020</c:v>
                </c:pt>
                <c:pt idx="40">
                  <c:v>44021</c:v>
                </c:pt>
                <c:pt idx="41">
                  <c:v>44022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44032</c:v>
                </c:pt>
                <c:pt idx="48">
                  <c:v>44033</c:v>
                </c:pt>
                <c:pt idx="49">
                  <c:v>44034</c:v>
                </c:pt>
                <c:pt idx="50">
                  <c:v>44035</c:v>
                </c:pt>
                <c:pt idx="51">
                  <c:v>44036</c:v>
                </c:pt>
                <c:pt idx="52">
                  <c:v>44039</c:v>
                </c:pt>
                <c:pt idx="53">
                  <c:v>44040</c:v>
                </c:pt>
                <c:pt idx="54">
                  <c:v>44041</c:v>
                </c:pt>
                <c:pt idx="55">
                  <c:v>44042</c:v>
                </c:pt>
                <c:pt idx="56">
                  <c:v>44043</c:v>
                </c:pt>
                <c:pt idx="57">
                  <c:v>44047</c:v>
                </c:pt>
                <c:pt idx="58">
                  <c:v>44048</c:v>
                </c:pt>
                <c:pt idx="59">
                  <c:v>44049</c:v>
                </c:pt>
                <c:pt idx="60">
                  <c:v>44050</c:v>
                </c:pt>
                <c:pt idx="61">
                  <c:v>44053</c:v>
                </c:pt>
                <c:pt idx="62">
                  <c:v>44054</c:v>
                </c:pt>
                <c:pt idx="63">
                  <c:v>44055</c:v>
                </c:pt>
                <c:pt idx="64">
                  <c:v>44056</c:v>
                </c:pt>
                <c:pt idx="65">
                  <c:v>44057</c:v>
                </c:pt>
                <c:pt idx="66">
                  <c:v>44060</c:v>
                </c:pt>
                <c:pt idx="67">
                  <c:v>44061</c:v>
                </c:pt>
                <c:pt idx="68">
                  <c:v>44062</c:v>
                </c:pt>
                <c:pt idx="69">
                  <c:v>44063</c:v>
                </c:pt>
                <c:pt idx="70">
                  <c:v>44064</c:v>
                </c:pt>
                <c:pt idx="71">
                  <c:v>44067</c:v>
                </c:pt>
                <c:pt idx="72">
                  <c:v>44068</c:v>
                </c:pt>
                <c:pt idx="73">
                  <c:v>44069</c:v>
                </c:pt>
                <c:pt idx="74">
                  <c:v>44070</c:v>
                </c:pt>
                <c:pt idx="75">
                  <c:v>44071</c:v>
                </c:pt>
                <c:pt idx="76">
                  <c:v>44074</c:v>
                </c:pt>
                <c:pt idx="77">
                  <c:v>44075</c:v>
                </c:pt>
                <c:pt idx="78">
                  <c:v>44076</c:v>
                </c:pt>
                <c:pt idx="79">
                  <c:v>44077</c:v>
                </c:pt>
                <c:pt idx="80">
                  <c:v>44078</c:v>
                </c:pt>
                <c:pt idx="81">
                  <c:v>44081</c:v>
                </c:pt>
                <c:pt idx="82">
                  <c:v>44082</c:v>
                </c:pt>
                <c:pt idx="83">
                  <c:v>44083</c:v>
                </c:pt>
                <c:pt idx="84">
                  <c:v>44084</c:v>
                </c:pt>
                <c:pt idx="85">
                  <c:v>44085</c:v>
                </c:pt>
                <c:pt idx="86">
                  <c:v>44088</c:v>
                </c:pt>
                <c:pt idx="87">
                  <c:v>44089</c:v>
                </c:pt>
                <c:pt idx="88">
                  <c:v>44090</c:v>
                </c:pt>
                <c:pt idx="89">
                  <c:v>44091</c:v>
                </c:pt>
                <c:pt idx="90">
                  <c:v>44092</c:v>
                </c:pt>
                <c:pt idx="91">
                  <c:v>44095</c:v>
                </c:pt>
                <c:pt idx="92">
                  <c:v>44096</c:v>
                </c:pt>
                <c:pt idx="93">
                  <c:v>44097</c:v>
                </c:pt>
                <c:pt idx="94">
                  <c:v>44098</c:v>
                </c:pt>
                <c:pt idx="95">
                  <c:v>44099</c:v>
                </c:pt>
                <c:pt idx="96">
                  <c:v>44102</c:v>
                </c:pt>
                <c:pt idx="97">
                  <c:v>44103</c:v>
                </c:pt>
                <c:pt idx="98">
                  <c:v>44104</c:v>
                </c:pt>
                <c:pt idx="99">
                  <c:v>44105</c:v>
                </c:pt>
                <c:pt idx="100">
                  <c:v>44106</c:v>
                </c:pt>
                <c:pt idx="101">
                  <c:v>44110</c:v>
                </c:pt>
                <c:pt idx="102" formatCode="d\-mmm\-yy">
                  <c:v>44111</c:v>
                </c:pt>
                <c:pt idx="103" formatCode="d\-mmm\-yy">
                  <c:v>44112</c:v>
                </c:pt>
                <c:pt idx="104" formatCode="d\-mmm\-yy">
                  <c:v>44113</c:v>
                </c:pt>
                <c:pt idx="105" formatCode="d\-mmm\-yy">
                  <c:v>44116</c:v>
                </c:pt>
                <c:pt idx="106" formatCode="d\-mmm\-yy">
                  <c:v>44117</c:v>
                </c:pt>
                <c:pt idx="107" formatCode="d\-mmm\-yy">
                  <c:v>44118</c:v>
                </c:pt>
                <c:pt idx="108" formatCode="d\-mmm\-yy">
                  <c:v>44119</c:v>
                </c:pt>
                <c:pt idx="109" formatCode="d\-mmm\-yy">
                  <c:v>44120</c:v>
                </c:pt>
                <c:pt idx="110" formatCode="d\-mmm\-yy">
                  <c:v>44123</c:v>
                </c:pt>
                <c:pt idx="111" formatCode="d\-mmm\-yy">
                  <c:v>44124</c:v>
                </c:pt>
                <c:pt idx="112" formatCode="d\-mmm\-yy">
                  <c:v>44125</c:v>
                </c:pt>
                <c:pt idx="113" formatCode="d\-mmm\-yy">
                  <c:v>44126</c:v>
                </c:pt>
                <c:pt idx="114" formatCode="d\-mmm\-yy">
                  <c:v>44127</c:v>
                </c:pt>
                <c:pt idx="115" formatCode="d\-mmm\-yy">
                  <c:v>44130</c:v>
                </c:pt>
                <c:pt idx="116" formatCode="d\-mmm\-yy">
                  <c:v>44131</c:v>
                </c:pt>
                <c:pt idx="117" formatCode="d\-mmm\-yy">
                  <c:v>44132</c:v>
                </c:pt>
                <c:pt idx="118" formatCode="d\-mmm\-yy">
                  <c:v>44133</c:v>
                </c:pt>
                <c:pt idx="119" formatCode="d\-mmm\-yy">
                  <c:v>44134</c:v>
                </c:pt>
                <c:pt idx="120" formatCode="d\-mmm\-yy">
                  <c:v>44137</c:v>
                </c:pt>
                <c:pt idx="121" formatCode="d\-mmm\-yy">
                  <c:v>44138</c:v>
                </c:pt>
                <c:pt idx="122" formatCode="d\-mmm\-yy">
                  <c:v>44139</c:v>
                </c:pt>
                <c:pt idx="123" formatCode="d\-mmm\-yy">
                  <c:v>44140</c:v>
                </c:pt>
                <c:pt idx="124" formatCode="d\-mmm\-yy">
                  <c:v>44141</c:v>
                </c:pt>
                <c:pt idx="125" formatCode="d\-mmm\-yy">
                  <c:v>44144</c:v>
                </c:pt>
                <c:pt idx="126" formatCode="d\-mmm\-yy">
                  <c:v>44145</c:v>
                </c:pt>
              </c:numCache>
            </c:numRef>
          </c:cat>
          <c:val>
            <c:numRef>
              <c:f>'Graph historical bond yields'!$E$33:$E$159</c:f>
              <c:numCache>
                <c:formatCode>#,##0.0000</c:formatCode>
                <c:ptCount val="127"/>
                <c:pt idx="0">
                  <c:v>1.0149999999999999E-2</c:v>
                </c:pt>
                <c:pt idx="1">
                  <c:v>9.5499999999999995E-3</c:v>
                </c:pt>
                <c:pt idx="2">
                  <c:v>9.6499999999999989E-3</c:v>
                </c:pt>
                <c:pt idx="3">
                  <c:v>9.6499999999999989E-3</c:v>
                </c:pt>
                <c:pt idx="4">
                  <c:v>1.035E-2</c:v>
                </c:pt>
                <c:pt idx="5">
                  <c:v>1.0049999999999998E-2</c:v>
                </c:pt>
                <c:pt idx="6">
                  <c:v>9.7000000000000003E-3</c:v>
                </c:pt>
                <c:pt idx="7">
                  <c:v>9.2500000000000013E-3</c:v>
                </c:pt>
                <c:pt idx="8">
                  <c:v>9.1500000000000001E-3</c:v>
                </c:pt>
                <c:pt idx="9">
                  <c:v>9.3999999999999986E-3</c:v>
                </c:pt>
                <c:pt idx="10">
                  <c:v>9.3500000000000007E-3</c:v>
                </c:pt>
                <c:pt idx="11">
                  <c:v>9.3500000000000007E-3</c:v>
                </c:pt>
                <c:pt idx="12">
                  <c:v>9.3999999999999986E-3</c:v>
                </c:pt>
                <c:pt idx="13">
                  <c:v>9.4999999999999998E-3</c:v>
                </c:pt>
                <c:pt idx="14">
                  <c:v>9.5999999999999992E-3</c:v>
                </c:pt>
                <c:pt idx="15">
                  <c:v>1.0200000000000001E-2</c:v>
                </c:pt>
                <c:pt idx="16">
                  <c:v>1.0700000000000001E-2</c:v>
                </c:pt>
                <c:pt idx="17">
                  <c:v>1.145E-2</c:v>
                </c:pt>
                <c:pt idx="18">
                  <c:v>1.1049999999999999E-2</c:v>
                </c:pt>
                <c:pt idx="19">
                  <c:v>1.0700000000000001E-2</c:v>
                </c:pt>
                <c:pt idx="20">
                  <c:v>9.7000000000000003E-3</c:v>
                </c:pt>
                <c:pt idx="21">
                  <c:v>9.5999999999999992E-3</c:v>
                </c:pt>
                <c:pt idx="22">
                  <c:v>9.1000000000000004E-3</c:v>
                </c:pt>
                <c:pt idx="23">
                  <c:v>9.6499999999999989E-3</c:v>
                </c:pt>
                <c:pt idx="24">
                  <c:v>9.6499999999999989E-3</c:v>
                </c:pt>
                <c:pt idx="25">
                  <c:v>9.300000000000001E-3</c:v>
                </c:pt>
                <c:pt idx="26">
                  <c:v>9.1000000000000004E-3</c:v>
                </c:pt>
                <c:pt idx="27">
                  <c:v>9.1500000000000001E-3</c:v>
                </c:pt>
                <c:pt idx="28">
                  <c:v>9.4999999999999998E-3</c:v>
                </c:pt>
                <c:pt idx="29">
                  <c:v>9.7000000000000003E-3</c:v>
                </c:pt>
                <c:pt idx="30">
                  <c:v>9.300000000000001E-3</c:v>
                </c:pt>
                <c:pt idx="31">
                  <c:v>9.1500000000000001E-3</c:v>
                </c:pt>
                <c:pt idx="32">
                  <c:v>9.300000000000001E-3</c:v>
                </c:pt>
                <c:pt idx="33">
                  <c:v>9.1999999999999998E-3</c:v>
                </c:pt>
                <c:pt idx="34">
                  <c:v>9.8499999999999994E-3</c:v>
                </c:pt>
                <c:pt idx="35">
                  <c:v>9.75E-3</c:v>
                </c:pt>
                <c:pt idx="36">
                  <c:v>9.5499999999999995E-3</c:v>
                </c:pt>
                <c:pt idx="37">
                  <c:v>9.75E-3</c:v>
                </c:pt>
                <c:pt idx="38">
                  <c:v>9.3500000000000007E-3</c:v>
                </c:pt>
                <c:pt idx="39">
                  <c:v>9.1999999999999998E-3</c:v>
                </c:pt>
                <c:pt idx="40">
                  <c:v>9.4999999999999998E-3</c:v>
                </c:pt>
                <c:pt idx="41">
                  <c:v>9.1000000000000004E-3</c:v>
                </c:pt>
                <c:pt idx="42">
                  <c:v>9.4999999999999998E-3</c:v>
                </c:pt>
                <c:pt idx="43">
                  <c:v>9.5999999999999992E-3</c:v>
                </c:pt>
                <c:pt idx="44">
                  <c:v>9.1999999999999998E-3</c:v>
                </c:pt>
                <c:pt idx="45">
                  <c:v>9.3500000000000007E-3</c:v>
                </c:pt>
                <c:pt idx="46">
                  <c:v>9.1999999999999998E-3</c:v>
                </c:pt>
                <c:pt idx="47">
                  <c:v>9.3999999999999986E-3</c:v>
                </c:pt>
                <c:pt idx="48">
                  <c:v>9.1500000000000001E-3</c:v>
                </c:pt>
                <c:pt idx="49">
                  <c:v>9.3999999999999986E-3</c:v>
                </c:pt>
                <c:pt idx="50">
                  <c:v>9.1000000000000004E-3</c:v>
                </c:pt>
                <c:pt idx="51">
                  <c:v>9.1500000000000001E-3</c:v>
                </c:pt>
                <c:pt idx="52">
                  <c:v>9.3500000000000007E-3</c:v>
                </c:pt>
                <c:pt idx="53">
                  <c:v>9.7000000000000003E-3</c:v>
                </c:pt>
                <c:pt idx="54">
                  <c:v>9.2500000000000013E-3</c:v>
                </c:pt>
                <c:pt idx="55">
                  <c:v>9.0500000000000008E-3</c:v>
                </c:pt>
                <c:pt idx="56">
                  <c:v>8.6E-3</c:v>
                </c:pt>
                <c:pt idx="57">
                  <c:v>8.8000000000000005E-3</c:v>
                </c:pt>
                <c:pt idx="58">
                  <c:v>8.6499999999999997E-3</c:v>
                </c:pt>
                <c:pt idx="59">
                  <c:v>9.0000000000000011E-3</c:v>
                </c:pt>
                <c:pt idx="60">
                  <c:v>8.7500000000000008E-3</c:v>
                </c:pt>
                <c:pt idx="61">
                  <c:v>9.1000000000000004E-3</c:v>
                </c:pt>
                <c:pt idx="62">
                  <c:v>9.1500000000000001E-3</c:v>
                </c:pt>
                <c:pt idx="63">
                  <c:v>9.6499999999999989E-3</c:v>
                </c:pt>
                <c:pt idx="64">
                  <c:v>9.3500000000000007E-3</c:v>
                </c:pt>
                <c:pt idx="65">
                  <c:v>9.7999999999999997E-3</c:v>
                </c:pt>
                <c:pt idx="66">
                  <c:v>9.4500000000000001E-3</c:v>
                </c:pt>
                <c:pt idx="67">
                  <c:v>9.1500000000000001E-3</c:v>
                </c:pt>
                <c:pt idx="68">
                  <c:v>9.1000000000000004E-3</c:v>
                </c:pt>
                <c:pt idx="69">
                  <c:v>9.0000000000000011E-3</c:v>
                </c:pt>
                <c:pt idx="70">
                  <c:v>9.2500000000000013E-3</c:v>
                </c:pt>
                <c:pt idx="71">
                  <c:v>9.0000000000000011E-3</c:v>
                </c:pt>
                <c:pt idx="72">
                  <c:v>9.300000000000001E-3</c:v>
                </c:pt>
                <c:pt idx="73">
                  <c:v>9.9500000000000005E-3</c:v>
                </c:pt>
                <c:pt idx="74">
                  <c:v>9.5999999999999992E-3</c:v>
                </c:pt>
                <c:pt idx="75">
                  <c:v>1.065E-2</c:v>
                </c:pt>
                <c:pt idx="76">
                  <c:v>1.0249999999999999E-2</c:v>
                </c:pt>
                <c:pt idx="77">
                  <c:v>1.0149999999999999E-2</c:v>
                </c:pt>
                <c:pt idx="78">
                  <c:v>9.7999999999999997E-3</c:v>
                </c:pt>
                <c:pt idx="79">
                  <c:v>9.5499999999999995E-3</c:v>
                </c:pt>
                <c:pt idx="80">
                  <c:v>9.3500000000000007E-3</c:v>
                </c:pt>
                <c:pt idx="81">
                  <c:v>1.0149999999999999E-2</c:v>
                </c:pt>
                <c:pt idx="82">
                  <c:v>1.0149999999999999E-2</c:v>
                </c:pt>
                <c:pt idx="83">
                  <c:v>9.3500000000000007E-3</c:v>
                </c:pt>
                <c:pt idx="84">
                  <c:v>9.75E-3</c:v>
                </c:pt>
                <c:pt idx="85">
                  <c:v>9.5499999999999995E-3</c:v>
                </c:pt>
                <c:pt idx="86">
                  <c:v>9.1500000000000001E-3</c:v>
                </c:pt>
                <c:pt idx="87">
                  <c:v>9.1000000000000004E-3</c:v>
                </c:pt>
                <c:pt idx="88">
                  <c:v>9.1000000000000004E-3</c:v>
                </c:pt>
                <c:pt idx="89">
                  <c:v>8.8999999999999999E-3</c:v>
                </c:pt>
                <c:pt idx="90">
                  <c:v>9.3500000000000007E-3</c:v>
                </c:pt>
                <c:pt idx="91">
                  <c:v>9.0000000000000011E-3</c:v>
                </c:pt>
                <c:pt idx="92">
                  <c:v>8.7500000000000008E-3</c:v>
                </c:pt>
                <c:pt idx="93">
                  <c:v>8.5500000000000003E-3</c:v>
                </c:pt>
                <c:pt idx="94">
                  <c:v>8.5500000000000003E-3</c:v>
                </c:pt>
                <c:pt idx="95">
                  <c:v>8.5000000000000006E-3</c:v>
                </c:pt>
                <c:pt idx="96">
                  <c:v>8.2500000000000004E-3</c:v>
                </c:pt>
                <c:pt idx="97">
                  <c:v>8.3000000000000001E-3</c:v>
                </c:pt>
                <c:pt idx="98">
                  <c:v>8.3499999999999998E-3</c:v>
                </c:pt>
                <c:pt idx="99">
                  <c:v>8.9499999999999996E-3</c:v>
                </c:pt>
                <c:pt idx="100">
                  <c:v>8.3000000000000001E-3</c:v>
                </c:pt>
                <c:pt idx="101">
                  <c:v>8.8000000000000005E-3</c:v>
                </c:pt>
                <c:pt idx="102">
                  <c:v>8.3999999999999995E-3</c:v>
                </c:pt>
                <c:pt idx="103">
                  <c:v>8.6499999999999997E-3</c:v>
                </c:pt>
                <c:pt idx="104">
                  <c:v>8.5000000000000006E-3</c:v>
                </c:pt>
                <c:pt idx="105">
                  <c:v>8.4499999999999992E-3</c:v>
                </c:pt>
                <c:pt idx="106">
                  <c:v>8.4499999999999992E-3</c:v>
                </c:pt>
                <c:pt idx="107">
                  <c:v>8.3499999999999998E-3</c:v>
                </c:pt>
                <c:pt idx="108">
                  <c:v>7.6E-3</c:v>
                </c:pt>
                <c:pt idx="109">
                  <c:v>7.1999999999999998E-3</c:v>
                </c:pt>
                <c:pt idx="110">
                  <c:v>7.4999999999999997E-3</c:v>
                </c:pt>
                <c:pt idx="111">
                  <c:v>7.5500000000000003E-3</c:v>
                </c:pt>
                <c:pt idx="112">
                  <c:v>8.0000000000000002E-3</c:v>
                </c:pt>
                <c:pt idx="113">
                  <c:v>8.1000000000000013E-3</c:v>
                </c:pt>
                <c:pt idx="114">
                  <c:v>8.5500000000000003E-3</c:v>
                </c:pt>
                <c:pt idx="115">
                  <c:v>8.0499999999999999E-3</c:v>
                </c:pt>
                <c:pt idx="116">
                  <c:v>8.0000000000000002E-3</c:v>
                </c:pt>
                <c:pt idx="117">
                  <c:v>7.8000000000000005E-3</c:v>
                </c:pt>
                <c:pt idx="118">
                  <c:v>8.1000000000000013E-3</c:v>
                </c:pt>
                <c:pt idx="119">
                  <c:v>8.2500000000000004E-3</c:v>
                </c:pt>
                <c:pt idx="120">
                  <c:v>8.199999999999999E-3</c:v>
                </c:pt>
                <c:pt idx="121">
                  <c:v>7.7000000000000002E-3</c:v>
                </c:pt>
                <c:pt idx="122">
                  <c:v>7.9000000000000008E-3</c:v>
                </c:pt>
                <c:pt idx="123">
                  <c:v>7.4000000000000003E-3</c:v>
                </c:pt>
                <c:pt idx="124">
                  <c:v>7.5500000000000003E-3</c:v>
                </c:pt>
                <c:pt idx="125">
                  <c:v>7.7000000000000002E-3</c:v>
                </c:pt>
                <c:pt idx="126">
                  <c:v>9.1999999999999998E-3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E-4BE1-BA4F-10A1D0525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253168"/>
        <c:axId val="448252512"/>
      </c:lineChart>
      <c:dateAx>
        <c:axId val="448253168"/>
        <c:scaling>
          <c:orientation val="minMax"/>
        </c:scaling>
        <c:delete val="0"/>
        <c:axPos val="b"/>
        <c:numFmt formatCode="dd\-mmm\-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 Semilight" panose="020B0402040204020203" pitchFamily="34" charset="0"/>
                <a:ea typeface="+mn-ea"/>
                <a:cs typeface="+mn-cs"/>
              </a:defRPr>
            </a:pPr>
            <a:endParaRPr lang="en-US"/>
          </a:p>
        </c:txPr>
        <c:crossAx val="448252512"/>
        <c:crosses val="autoZero"/>
        <c:auto val="1"/>
        <c:lblOffset val="100"/>
        <c:baseTimeUnit val="days"/>
        <c:majorUnit val="15"/>
        <c:majorTimeUnit val="days"/>
      </c:dateAx>
      <c:valAx>
        <c:axId val="448252512"/>
        <c:scaling>
          <c:orientation val="minMax"/>
          <c:max val="2.0000000000000004E-2"/>
        </c:scaling>
        <c:delete val="0"/>
        <c:axPos val="l"/>
        <c:majorGridlines>
          <c:spPr>
            <a:ln w="6350" cap="flat" cmpd="sng" algn="ctr">
              <a:solidFill>
                <a:schemeClr val="accent2">
                  <a:alpha val="2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Segoe UI Semilight" panose="020B0402040204020203" pitchFamily="34" charset="0"/>
                    <a:ea typeface="+mn-ea"/>
                    <a:cs typeface="+mn-cs"/>
                  </a:defRPr>
                </a:pPr>
                <a:r>
                  <a:rPr lang="en-AU"/>
                  <a:t>Bond yields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 Semilight" panose="020B0402040204020203" pitchFamily="34" charset="0"/>
                <a:ea typeface="+mn-ea"/>
                <a:cs typeface="+mn-cs"/>
              </a:defRPr>
            </a:pPr>
            <a:endParaRPr lang="en-US"/>
          </a:p>
        </c:txPr>
        <c:crossAx val="44825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 Semilight" panose="020B0402040204020203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25952346241639823"/>
          <c:y val="0.89092964312993461"/>
          <c:w val="0.48095307516720354"/>
          <c:h val="7.2510782355703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egoe UI Semilight" panose="020B04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7657444458787"/>
          <c:y val="6.6784282717798335E-2"/>
          <c:w val="0.8173496471123487"/>
          <c:h val="0.782693802345169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'BRCP chart breakdown'!$C$56</c:f>
              <c:strCache>
                <c:ptCount val="1"/>
                <c:pt idx="0">
                  <c:v>Power station cost (PC)*</c:v>
                </c:pt>
              </c:strCache>
            </c:strRef>
          </c:tx>
          <c:spPr>
            <a:solidFill>
              <a:srgbClr val="702F73"/>
            </a:solidFill>
            <a:ln>
              <a:noFill/>
            </a:ln>
            <a:effectLst/>
          </c:spPr>
          <c:invertIfNegative val="0"/>
          <c:cat>
            <c:strRef>
              <c:f>'BRCP chart breakdown'!$D$55:$R$55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'BRCP chart breakdown'!$D$56:$R$56</c:f>
              <c:numCache>
                <c:formatCode>_-"$"* #,##0_-;\-"$"* #,##0_-;_-"$"* "-"??_-;_-@_-</c:formatCode>
                <c:ptCount val="15"/>
                <c:pt idx="0">
                  <c:v>107404</c:v>
                </c:pt>
                <c:pt idx="1">
                  <c:v>135701</c:v>
                </c:pt>
                <c:pt idx="2">
                  <c:v>134091</c:v>
                </c:pt>
                <c:pt idx="3">
                  <c:v>149306</c:v>
                </c:pt>
                <c:pt idx="4">
                  <c:v>158709.62279171101</c:v>
                </c:pt>
                <c:pt idx="5">
                  <c:v>113971.119830457</c:v>
                </c:pt>
                <c:pt idx="6">
                  <c:v>104178.11203866579</c:v>
                </c:pt>
                <c:pt idx="7">
                  <c:v>119941.75194115908</c:v>
                </c:pt>
                <c:pt idx="8">
                  <c:v>108648.71644633486</c:v>
                </c:pt>
                <c:pt idx="9">
                  <c:v>103897.67020924413</c:v>
                </c:pt>
                <c:pt idx="10">
                  <c:v>95744.972024981151</c:v>
                </c:pt>
                <c:pt idx="11">
                  <c:v>99424.958143234442</c:v>
                </c:pt>
                <c:pt idx="12">
                  <c:v>100002.33390699397</c:v>
                </c:pt>
                <c:pt idx="13">
                  <c:v>89002.193013098586</c:v>
                </c:pt>
                <c:pt idx="14">
                  <c:v>95417.092745841233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6-4C47-82FD-97C84D9E9BF9}"/>
            </c:ext>
          </c:extLst>
        </c:ser>
        <c:ser>
          <c:idx val="1"/>
          <c:order val="1"/>
          <c:tx>
            <c:strRef>
              <c:f>'BRCP chart breakdown'!$C$57</c:f>
              <c:strCache>
                <c:ptCount val="1"/>
                <c:pt idx="0">
                  <c:v>Transmission cost (TC)</c:v>
                </c:pt>
              </c:strCache>
            </c:strRef>
          </c:tx>
          <c:spPr>
            <a:solidFill>
              <a:srgbClr val="FE5F55"/>
            </a:solidFill>
            <a:ln>
              <a:noFill/>
            </a:ln>
            <a:effectLst/>
          </c:spPr>
          <c:invertIfNegative val="0"/>
          <c:cat>
            <c:strRef>
              <c:f>'BRCP chart breakdown'!$D$55:$R$55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'BRCP chart breakdown'!$D$57:$R$57</c:f>
              <c:numCache>
                <c:formatCode>_-"$"* #,##0_-;\-"$"* #,##0_-;_-"$"* "-"??_-;_-@_-</c:formatCode>
                <c:ptCount val="15"/>
                <c:pt idx="0">
                  <c:v>18017</c:v>
                </c:pt>
                <c:pt idx="1">
                  <c:v>20672</c:v>
                </c:pt>
                <c:pt idx="2">
                  <c:v>13151</c:v>
                </c:pt>
                <c:pt idx="3">
                  <c:v>58493</c:v>
                </c:pt>
                <c:pt idx="4">
                  <c:v>51620.522079153197</c:v>
                </c:pt>
                <c:pt idx="5">
                  <c:v>12329.342763937215</c:v>
                </c:pt>
                <c:pt idx="6">
                  <c:v>12164.144792355832</c:v>
                </c:pt>
                <c:pt idx="7">
                  <c:v>16127.010707971525</c:v>
                </c:pt>
                <c:pt idx="8">
                  <c:v>16860.303568328425</c:v>
                </c:pt>
                <c:pt idx="9">
                  <c:v>16623.829054161251</c:v>
                </c:pt>
                <c:pt idx="10">
                  <c:v>17691.164106295295</c:v>
                </c:pt>
                <c:pt idx="11">
                  <c:v>17520.237574424129</c:v>
                </c:pt>
                <c:pt idx="12">
                  <c:v>18119.653375703503</c:v>
                </c:pt>
                <c:pt idx="13">
                  <c:v>16061.786775439077</c:v>
                </c:pt>
                <c:pt idx="14">
                  <c:v>18120.251746142199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6-4C47-82FD-97C84D9E9BF9}"/>
            </c:ext>
          </c:extLst>
        </c:ser>
        <c:ser>
          <c:idx val="2"/>
          <c:order val="2"/>
          <c:tx>
            <c:strRef>
              <c:f>'BRCP chart breakdown'!$C$58</c:f>
              <c:strCache>
                <c:ptCount val="1"/>
                <c:pt idx="0">
                  <c:v>Fixed O&amp;M cost</c:v>
                </c:pt>
              </c:strCache>
            </c:strRef>
          </c:tx>
          <c:spPr>
            <a:solidFill>
              <a:srgbClr val="A1D978"/>
            </a:solidFill>
            <a:ln>
              <a:noFill/>
            </a:ln>
            <a:effectLst/>
          </c:spPr>
          <c:invertIfNegative val="0"/>
          <c:cat>
            <c:strRef>
              <c:f>'BRCP chart breakdown'!$D$55:$R$55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'BRCP chart breakdown'!$D$58:$R$58</c:f>
              <c:numCache>
                <c:formatCode>_-"$"* #,##0_-;\-"$"* #,##0_-;_-"$"* "-"??_-;_-@_-</c:formatCode>
                <c:ptCount val="15"/>
                <c:pt idx="0">
                  <c:v>13363.361699999999</c:v>
                </c:pt>
                <c:pt idx="1">
                  <c:v>14392.090099999999</c:v>
                </c:pt>
                <c:pt idx="2">
                  <c:v>13431</c:v>
                </c:pt>
                <c:pt idx="3">
                  <c:v>27335</c:v>
                </c:pt>
                <c:pt idx="4">
                  <c:v>26648.639999999999</c:v>
                </c:pt>
                <c:pt idx="5">
                  <c:v>33384.488896452836</c:v>
                </c:pt>
                <c:pt idx="6">
                  <c:v>34238.67</c:v>
                </c:pt>
                <c:pt idx="7">
                  <c:v>33238.008880602021</c:v>
                </c:pt>
                <c:pt idx="8">
                  <c:v>32307.016765742781</c:v>
                </c:pt>
                <c:pt idx="9">
                  <c:v>32581.684018372114</c:v>
                </c:pt>
                <c:pt idx="10">
                  <c:v>30143.200000000001</c:v>
                </c:pt>
                <c:pt idx="11">
                  <c:v>30437</c:v>
                </c:pt>
                <c:pt idx="12">
                  <c:v>29776.44</c:v>
                </c:pt>
                <c:pt idx="13">
                  <c:v>31168.014527213316</c:v>
                </c:pt>
                <c:pt idx="14">
                  <c:v>32027.658870725267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6-4C47-82FD-97C84D9E9BF9}"/>
            </c:ext>
          </c:extLst>
        </c:ser>
        <c:ser>
          <c:idx val="3"/>
          <c:order val="3"/>
          <c:tx>
            <c:strRef>
              <c:f>'BRCP chart breakdown'!$C$59</c:f>
              <c:strCache>
                <c:ptCount val="1"/>
                <c:pt idx="0">
                  <c:v>Fixed fuel cost (FFC)</c:v>
                </c:pt>
              </c:strCache>
            </c:strRef>
          </c:tx>
          <c:spPr>
            <a:solidFill>
              <a:srgbClr val="FFD565"/>
            </a:solidFill>
            <a:ln>
              <a:noFill/>
            </a:ln>
            <a:effectLst/>
          </c:spPr>
          <c:invertIfNegative val="0"/>
          <c:cat>
            <c:strRef>
              <c:f>'BRCP chart breakdown'!$D$55:$R$55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'BRCP chart breakdown'!$D$59:$R$59</c:f>
              <c:numCache>
                <c:formatCode>_-"$"* #,##0_-;\-"$"* #,##0_-;_-"$"* "-"??_-;_-@_-</c:formatCode>
                <c:ptCount val="15"/>
                <c:pt idx="0">
                  <c:v>3456</c:v>
                </c:pt>
                <c:pt idx="1">
                  <c:v>2631</c:v>
                </c:pt>
                <c:pt idx="2">
                  <c:v>3151</c:v>
                </c:pt>
                <c:pt idx="3">
                  <c:v>2615</c:v>
                </c:pt>
                <c:pt idx="4">
                  <c:v>2824.58583257696</c:v>
                </c:pt>
                <c:pt idx="5">
                  <c:v>2239.0742348717968</c:v>
                </c:pt>
                <c:pt idx="6">
                  <c:v>4680.099245710715</c:v>
                </c:pt>
                <c:pt idx="7">
                  <c:v>5441.5405867291374</c:v>
                </c:pt>
                <c:pt idx="8">
                  <c:v>5060.9758061740849</c:v>
                </c:pt>
                <c:pt idx="9">
                  <c:v>4886.0544711751863</c:v>
                </c:pt>
                <c:pt idx="10">
                  <c:v>4620.0946319206996</c:v>
                </c:pt>
                <c:pt idx="11">
                  <c:v>4615.2746554386931</c:v>
                </c:pt>
                <c:pt idx="12">
                  <c:v>4752.8108364052532</c:v>
                </c:pt>
                <c:pt idx="13">
                  <c:v>4186.0320704645028</c:v>
                </c:pt>
                <c:pt idx="14">
                  <c:v>4548.3637409316761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26-4C47-82FD-97C84D9E9BF9}"/>
            </c:ext>
          </c:extLst>
        </c:ser>
        <c:ser>
          <c:idx val="4"/>
          <c:order val="4"/>
          <c:tx>
            <c:strRef>
              <c:f>'BRCP chart breakdown'!$C$60</c:f>
              <c:strCache>
                <c:ptCount val="1"/>
                <c:pt idx="0">
                  <c:v>Land cost (LC)</c:v>
                </c:pt>
              </c:strCache>
            </c:strRef>
          </c:tx>
          <c:spPr>
            <a:solidFill>
              <a:srgbClr val="777DA7"/>
            </a:solidFill>
            <a:ln>
              <a:noFill/>
            </a:ln>
            <a:effectLst/>
          </c:spPr>
          <c:invertIfNegative val="0"/>
          <c:cat>
            <c:strRef>
              <c:f>'BRCP chart breakdown'!$D$55:$R$55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'BRCP chart breakdown'!$D$60:$R$60</c:f>
              <c:numCache>
                <c:formatCode>_-"$"* #,##0_-;\-"$"* #,##0_-;_-"$"* "-"??_-;_-@_-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293</c:v>
                </c:pt>
                <c:pt idx="3">
                  <c:v>769</c:v>
                </c:pt>
                <c:pt idx="4">
                  <c:v>817.61457655866002</c:v>
                </c:pt>
                <c:pt idx="5">
                  <c:v>1972.5490729899482</c:v>
                </c:pt>
                <c:pt idx="6">
                  <c:v>1783.4454270270619</c:v>
                </c:pt>
                <c:pt idx="7">
                  <c:v>2064.3924461815727</c:v>
                </c:pt>
                <c:pt idx="8">
                  <c:v>1912.3663671186482</c:v>
                </c:pt>
                <c:pt idx="9">
                  <c:v>1830.7323536877852</c:v>
                </c:pt>
                <c:pt idx="10">
                  <c:v>1650.4091694627905</c:v>
                </c:pt>
                <c:pt idx="11">
                  <c:v>1585.4024142211056</c:v>
                </c:pt>
                <c:pt idx="12">
                  <c:v>1534.8754608179993</c:v>
                </c:pt>
                <c:pt idx="13">
                  <c:v>1471.7860956358356</c:v>
                </c:pt>
                <c:pt idx="14">
                  <c:v>1581.2400631836147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26-4C47-82FD-97C84D9E9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2555784"/>
        <c:axId val="422555392"/>
      </c:barChart>
      <c:lineChart>
        <c:grouping val="standard"/>
        <c:varyColors val="0"/>
        <c:ser>
          <c:idx val="5"/>
          <c:order val="5"/>
          <c:tx>
            <c:strRef>
              <c:f>'BRCP chart breakdown'!$C$61</c:f>
              <c:strCache>
                <c:ptCount val="1"/>
                <c:pt idx="0">
                  <c:v>Reserve Capacity Price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'BRCP chart breakdown'!$D$55:$R$55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'BRCP chart breakdown'!$D$61:$Q$61</c:f>
              <c:numCache>
                <c:formatCode>_-"$"* #,##0_-;\-"$"* #,##0_-;_-"$"* "-"??_-;_-@_-</c:formatCode>
                <c:ptCount val="14"/>
                <c:pt idx="0">
                  <c:v>108459</c:v>
                </c:pt>
                <c:pt idx="1">
                  <c:v>144235</c:v>
                </c:pt>
                <c:pt idx="2">
                  <c:v>131805</c:v>
                </c:pt>
                <c:pt idx="3">
                  <c:v>186001</c:v>
                </c:pt>
                <c:pt idx="4">
                  <c:v>178477</c:v>
                </c:pt>
                <c:pt idx="5">
                  <c:v>122428</c:v>
                </c:pt>
                <c:pt idx="6">
                  <c:v>120199</c:v>
                </c:pt>
                <c:pt idx="7">
                  <c:v>121888.94</c:v>
                </c:pt>
                <c:pt idx="8">
                  <c:v>111752.53</c:v>
                </c:pt>
                <c:pt idx="9">
                  <c:v>138760.39000000001</c:v>
                </c:pt>
                <c:pt idx="10">
                  <c:v>126683.47</c:v>
                </c:pt>
                <c:pt idx="11">
                  <c:v>114134.15</c:v>
                </c:pt>
                <c:pt idx="12">
                  <c:v>78573.33</c:v>
                </c:pt>
                <c:pt idx="13">
                  <c:v>85294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26-4C47-82FD-97C84D9E9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55784"/>
        <c:axId val="422555392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'BRCP chart breakdown'!$C$62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'BRCP chart breakdown'!$D$55:$R$55</c15:sqref>
                        </c15:formulaRef>
                      </c:ext>
                    </c:extLst>
                    <c:strCache>
                      <c:ptCount val="15"/>
                      <c:pt idx="0">
                        <c:v>2009-10</c:v>
                      </c:pt>
                      <c:pt idx="1">
                        <c:v>2010-11</c:v>
                      </c:pt>
                      <c:pt idx="2">
                        <c:v>2011-12</c:v>
                      </c:pt>
                      <c:pt idx="3">
                        <c:v>2012-13</c:v>
                      </c:pt>
                      <c:pt idx="4">
                        <c:v>2013-14</c:v>
                      </c:pt>
                      <c:pt idx="5">
                        <c:v>2014-15</c:v>
                      </c:pt>
                      <c:pt idx="6">
                        <c:v>2015-16</c:v>
                      </c:pt>
                      <c:pt idx="7">
                        <c:v>2016-17</c:v>
                      </c:pt>
                      <c:pt idx="8">
                        <c:v>2017-18</c:v>
                      </c:pt>
                      <c:pt idx="9">
                        <c:v>2018-19</c:v>
                      </c:pt>
                      <c:pt idx="10">
                        <c:v>2019-20</c:v>
                      </c:pt>
                      <c:pt idx="11">
                        <c:v>2020-21</c:v>
                      </c:pt>
                      <c:pt idx="12">
                        <c:v>2021-22</c:v>
                      </c:pt>
                      <c:pt idx="13">
                        <c:v>2022-23</c:v>
                      </c:pt>
                      <c:pt idx="14">
                        <c:v>2023-24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'BRCP chart breakdown'!$D$62:$Q$62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2C26-4C47-82FD-97C84D9E9BF9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'BRCP chart breakdown'!$C$63</c15:sqref>
                        </c15:formulaRef>
                      </c:ext>
                    </c:extLst>
                    <c:strCache>
                      <c:ptCount val="1"/>
                      <c:pt idx="0">
                        <c:v>BRCP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'BRCP chart breakdown'!$D$55:$R$55</c15:sqref>
                        </c15:formulaRef>
                      </c:ext>
                    </c:extLst>
                    <c:strCache>
                      <c:ptCount val="15"/>
                      <c:pt idx="0">
                        <c:v>2009-10</c:v>
                      </c:pt>
                      <c:pt idx="1">
                        <c:v>2010-11</c:v>
                      </c:pt>
                      <c:pt idx="2">
                        <c:v>2011-12</c:v>
                      </c:pt>
                      <c:pt idx="3">
                        <c:v>2012-13</c:v>
                      </c:pt>
                      <c:pt idx="4">
                        <c:v>2013-14</c:v>
                      </c:pt>
                      <c:pt idx="5">
                        <c:v>2014-15</c:v>
                      </c:pt>
                      <c:pt idx="6">
                        <c:v>2015-16</c:v>
                      </c:pt>
                      <c:pt idx="7">
                        <c:v>2016-17</c:v>
                      </c:pt>
                      <c:pt idx="8">
                        <c:v>2017-18</c:v>
                      </c:pt>
                      <c:pt idx="9">
                        <c:v>2018-19</c:v>
                      </c:pt>
                      <c:pt idx="10">
                        <c:v>2019-20</c:v>
                      </c:pt>
                      <c:pt idx="11">
                        <c:v>2020-21</c:v>
                      </c:pt>
                      <c:pt idx="12">
                        <c:v>2021-22</c:v>
                      </c:pt>
                      <c:pt idx="13">
                        <c:v>2022-23</c:v>
                      </c:pt>
                      <c:pt idx="14">
                        <c:v>2023-24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'BRCP chart breakdown'!$D$63:$R$63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5"/>
                      <c:pt idx="0">
                        <c:v>142200</c:v>
                      </c:pt>
                      <c:pt idx="1">
                        <c:v>173400</c:v>
                      </c:pt>
                      <c:pt idx="2">
                        <c:v>164100</c:v>
                      </c:pt>
                      <c:pt idx="3">
                        <c:v>238500</c:v>
                      </c:pt>
                      <c:pt idx="4">
                        <c:v>240600</c:v>
                      </c:pt>
                      <c:pt idx="5">
                        <c:v>163900</c:v>
                      </c:pt>
                      <c:pt idx="6">
                        <c:v>157000</c:v>
                      </c:pt>
                      <c:pt idx="7">
                        <c:v>176800</c:v>
                      </c:pt>
                      <c:pt idx="8">
                        <c:v>164800</c:v>
                      </c:pt>
                      <c:pt idx="9">
                        <c:v>159800</c:v>
                      </c:pt>
                      <c:pt idx="10">
                        <c:v>149800</c:v>
                      </c:pt>
                      <c:pt idx="11">
                        <c:v>153600</c:v>
                      </c:pt>
                      <c:pt idx="12">
                        <c:v>154200</c:v>
                      </c:pt>
                      <c:pt idx="13">
                        <c:v>141900</c:v>
                      </c:pt>
                      <c:pt idx="14">
                        <c:v>151700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C26-4C47-82FD-97C84D9E9BF9}"/>
                  </c:ext>
                </c:extLst>
              </c15:ser>
            </c15:filteredLineSeries>
          </c:ext>
        </c:extLst>
      </c:lineChart>
      <c:catAx>
        <c:axId val="42255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555392"/>
        <c:crosses val="autoZero"/>
        <c:auto val="1"/>
        <c:lblAlgn val="ctr"/>
        <c:lblOffset val="100"/>
        <c:noMultiLvlLbl val="0"/>
      </c:catAx>
      <c:valAx>
        <c:axId val="422555392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Arial" panose="020B0604020202020204" pitchFamily="34" charset="0"/>
                  </a:defRPr>
                </a:pPr>
                <a:r>
                  <a:rPr lang="en-AU" sz="900">
                    <a:latin typeface="+mj-lt"/>
                  </a:rPr>
                  <a:t>Benchmark Reserve Capacity Price ($/MW)</a:t>
                </a:r>
              </a:p>
            </c:rich>
          </c:tx>
          <c:layout>
            <c:manualLayout>
              <c:xMode val="edge"/>
              <c:yMode val="edge"/>
              <c:x val="7.4520807356490984E-2"/>
              <c:y val="0.22798776186667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555784"/>
        <c:crosses val="autoZero"/>
        <c:crossBetween val="between"/>
      </c:valAx>
      <c:dTable>
        <c:showHorzBorder val="1"/>
        <c:showVertBorder val="1"/>
        <c:showOutline val="0"/>
        <c:showKeys val="1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Segoe UI Semilight" panose="020B0402040204020203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n-US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waterfall" uniqueId="{E1382BEC-BEC1-49C9-A144-A7FC6CED3739}">
          <cx:tx>
            <cx:txData>
              <cx:f/>
              <cx:v>2021 BRCP</cx:v>
            </cx:txData>
          </cx:tx>
          <cx:dataPt idx="0">
            <cx:spPr>
              <a:solidFill>
                <a:srgbClr val="702F73"/>
              </a:solidFill>
            </cx:spPr>
          </cx:dataPt>
          <cx:dataPt idx="1">
            <cx:spPr>
              <a:solidFill>
                <a:srgbClr val="777DA7"/>
              </a:solidFill>
            </cx:spPr>
          </cx:dataPt>
          <cx:dataPt idx="2">
            <cx:spPr>
              <a:solidFill>
                <a:srgbClr val="777DA7"/>
              </a:solidFill>
            </cx:spPr>
          </cx:dataPt>
          <cx:dataPt idx="3">
            <cx:spPr>
              <a:solidFill>
                <a:srgbClr val="777DA7"/>
              </a:solidFill>
            </cx:spPr>
          </cx:dataPt>
          <cx:dataPt idx="5">
            <cx:spPr>
              <a:solidFill>
                <a:srgbClr val="34B9B3"/>
              </a:solidFill>
            </cx:spPr>
          </cx:dataPt>
          <cx:dataPt idx="6">
            <cx:spPr>
              <a:solidFill>
                <a:srgbClr val="34B9B3"/>
              </a:solidFill>
            </cx:spPr>
          </cx:dataPt>
          <cx:dataPt idx="7">
            <cx:spPr>
              <a:solidFill>
                <a:srgbClr val="34B9B3"/>
              </a:solidFill>
            </cx:spPr>
          </cx:dataPt>
          <cx:dataPt idx="8">
            <cx:spPr>
              <a:solidFill>
                <a:srgbClr val="34B9B3"/>
              </a:solidFill>
            </cx:spPr>
          </cx:dataPt>
          <cx:dataPt idx="9">
            <cx:spPr>
              <a:solidFill>
                <a:srgbClr val="34B9B3"/>
              </a:solidFill>
            </cx:spPr>
          </cx:dataPt>
          <cx:dataPt idx="10">
            <cx:spPr>
              <a:solidFill>
                <a:srgbClr val="702F73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595959"/>
                    </a:solidFill>
                    <a:latin typeface="+mn-lt"/>
                    <a:ea typeface="Arial Black" panose="020B0A04020102020204" pitchFamily="34" charset="0"/>
                    <a:cs typeface="Arial Black" panose="020B0A04020102020204" pitchFamily="34" charset="0"/>
                  </a:defRPr>
                </a:pPr>
                <a:endParaRPr lang="en-AU" sz="900" b="0">
                  <a:latin typeface="+mn-lt"/>
                </a:endParaRPr>
              </a:p>
            </cx:txPr>
            <cx:visibility seriesName="0" categoryName="0" value="1"/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/>
                  </a:pPr>
                  <a:r>
                    <a:rPr lang="en-AU" sz="900" b="0">
                      <a:latin typeface="+mn-lt"/>
                    </a:rPr>
                    <a:t> $141,900 </a:t>
                  </a:r>
                </a:p>
              </cx:txPr>
              <cx:visibility seriesName="0" categoryName="0" value="1"/>
            </cx:dataLabel>
          </cx:dataLabels>
          <cx:dataId val="0"/>
          <cx:layoutPr>
            <cx:visibility connectorLines="1"/>
            <cx:subtotals>
              <cx:idx val="10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+mn-lt"/>
                <a:ea typeface="Century Gothic" panose="020B0502020202020204" pitchFamily="34" charset="0"/>
                <a:cs typeface="Century Gothic" panose="020B0502020202020204" pitchFamily="34" charset="0"/>
              </a:defRPr>
            </a:pPr>
            <a:endParaRPr lang="en-AU" sz="900" b="0">
              <a:latin typeface="+mn-lt"/>
            </a:endParaRPr>
          </a:p>
        </cx:txPr>
      </cx:axis>
      <cx:axis id="1">
        <cx:valScaling min="120000"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+mn-lt"/>
                <a:ea typeface="Century Gothic" panose="020B0502020202020204" pitchFamily="34" charset="0"/>
                <a:cs typeface="Century Gothic" panose="020B0502020202020204" pitchFamily="34" charset="0"/>
              </a:defRPr>
            </a:pPr>
            <a:endParaRPr lang="en-AU" sz="900" b="0">
              <a:latin typeface="+mn-lt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7342F0-CC50-470E-965F-4F9E1F7A7DFD}">
  <sheetPr/>
  <sheetViews>
    <sheetView tabSelected="1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</xdr:colOff>
      <xdr:row>2</xdr:row>
      <xdr:rowOff>20001</xdr:rowOff>
    </xdr:from>
    <xdr:to>
      <xdr:col>7</xdr:col>
      <xdr:colOff>237696</xdr:colOff>
      <xdr:row>20</xdr:row>
      <xdr:rowOff>74543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E06F40-8A21-44CE-A67F-1DE5844DB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63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77B252-D82A-447B-96EC-3E7A84B412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53864</xdr:colOff>
      <xdr:row>2</xdr:row>
      <xdr:rowOff>55245</xdr:rowOff>
    </xdr:from>
    <xdr:to>
      <xdr:col>21</xdr:col>
      <xdr:colOff>515795</xdr:colOff>
      <xdr:row>14</xdr:row>
      <xdr:rowOff>80225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FA69352-90D8-499F-9CF2-BDB379F2D7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31904" y="619125"/>
              <a:ext cx="6557931" cy="39797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A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AEMO 2018 A4 landscape">
  <a:themeElements>
    <a:clrScheme name="AEMO color palette extension 2020">
      <a:dk1>
        <a:sysClr val="windowText" lastClr="000000"/>
      </a:dk1>
      <a:lt1>
        <a:sysClr val="window" lastClr="FFFFFF"/>
      </a:lt1>
      <a:dk2>
        <a:srgbClr val="360F3C"/>
      </a:dk2>
      <a:lt2>
        <a:srgbClr val="FFFFFF"/>
      </a:lt2>
      <a:accent1>
        <a:srgbClr val="702F73"/>
      </a:accent1>
      <a:accent2>
        <a:srgbClr val="777DA7"/>
      </a:accent2>
      <a:accent3>
        <a:srgbClr val="34B9B3"/>
      </a:accent3>
      <a:accent4>
        <a:srgbClr val="FE5F55"/>
      </a:accent4>
      <a:accent5>
        <a:srgbClr val="FFD565"/>
      </a:accent5>
      <a:accent6>
        <a:srgbClr val="A1D978"/>
      </a:accent6>
      <a:hlink>
        <a:srgbClr val="954F72"/>
      </a:hlink>
      <a:folHlink>
        <a:srgbClr val="954F72"/>
      </a:folHlink>
    </a:clrScheme>
    <a:fontScheme name="AEMO fonts 2020 (Segoe UI Semilight)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EMO 2018 A4 landscape" id="{22A54129-71AA-4D41-B9F4-2AC7F2F42010}" vid="{06A90869-5A30-4725-8A1A-F8FF7B8EB73D}"/>
    </a:ext>
  </a:extLst>
</a:theme>
</file>

<file path=xl/theme/themeOverride1.xml><?xml version="1.0" encoding="utf-8"?>
<a:themeOverride xmlns:a="http://schemas.openxmlformats.org/drawingml/2006/main">
  <a:clrScheme name="AEMO color palette extension 2020">
    <a:dk1>
      <a:sysClr val="windowText" lastClr="000000"/>
    </a:dk1>
    <a:lt1>
      <a:sysClr val="window" lastClr="FFFFFF"/>
    </a:lt1>
    <a:dk2>
      <a:srgbClr val="360F3C"/>
    </a:dk2>
    <a:lt2>
      <a:srgbClr val="FFFFFF"/>
    </a:lt2>
    <a:accent1>
      <a:srgbClr val="702F73"/>
    </a:accent1>
    <a:accent2>
      <a:srgbClr val="777DA7"/>
    </a:accent2>
    <a:accent3>
      <a:srgbClr val="34B9B3"/>
    </a:accent3>
    <a:accent4>
      <a:srgbClr val="FE5F55"/>
    </a:accent4>
    <a:accent5>
      <a:srgbClr val="FFD565"/>
    </a:accent5>
    <a:accent6>
      <a:srgbClr val="A1D978"/>
    </a:accent6>
    <a:hlink>
      <a:srgbClr val="954F72"/>
    </a:hlink>
    <a:folHlink>
      <a:srgbClr val="954F72"/>
    </a:folHlink>
  </a:clrScheme>
  <a:fontScheme name="AEMO fonts 2020 (Avenir)">
    <a:majorFont>
      <a:latin typeface="Avenir Next LT Pro"/>
      <a:ea typeface=""/>
      <a:cs typeface=""/>
    </a:majorFont>
    <a:minorFont>
      <a:latin typeface="Avenir Next LT Pro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apps.osr.wa.gov.au/portal/0/home;jsessionid=HUMzy47BiJyTgiXpxhA56gXLDPY1lur5lAOhLx0hviTvcNLg7gK1!-1182891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A41"/>
  <sheetViews>
    <sheetView showGridLines="0" topLeftCell="A8" workbookViewId="0">
      <selection activeCell="A31" sqref="A31"/>
    </sheetView>
  </sheetViews>
  <sheetFormatPr defaultRowHeight="13.2" x14ac:dyDescent="0.25"/>
  <cols>
    <col min="1" max="1" width="162.44140625" customWidth="1"/>
  </cols>
  <sheetData>
    <row r="1" spans="1:1" ht="15.6" x14ac:dyDescent="0.3">
      <c r="A1" s="5" t="s">
        <v>147</v>
      </c>
    </row>
    <row r="2" spans="1:1" ht="13.8" x14ac:dyDescent="0.25">
      <c r="A2" s="109" t="s">
        <v>243</v>
      </c>
    </row>
    <row r="4" spans="1:1" x14ac:dyDescent="0.25">
      <c r="A4" s="130" t="s">
        <v>148</v>
      </c>
    </row>
    <row r="6" spans="1:1" x14ac:dyDescent="0.25">
      <c r="A6" s="1" t="s">
        <v>74</v>
      </c>
    </row>
    <row r="7" spans="1:1" x14ac:dyDescent="0.25">
      <c r="A7" s="1" t="s">
        <v>75</v>
      </c>
    </row>
    <row r="9" spans="1:1" x14ac:dyDescent="0.25">
      <c r="A9" s="1" t="s">
        <v>76</v>
      </c>
    </row>
    <row r="10" spans="1:1" x14ac:dyDescent="0.25">
      <c r="A10" s="119" t="s">
        <v>142</v>
      </c>
    </row>
    <row r="11" spans="1:1" x14ac:dyDescent="0.25">
      <c r="A11" s="119" t="s">
        <v>141</v>
      </c>
    </row>
    <row r="12" spans="1:1" x14ac:dyDescent="0.25">
      <c r="A12" s="119" t="s">
        <v>143</v>
      </c>
    </row>
    <row r="13" spans="1:1" x14ac:dyDescent="0.25">
      <c r="A13" s="119" t="s">
        <v>144</v>
      </c>
    </row>
    <row r="14" spans="1:1" x14ac:dyDescent="0.25">
      <c r="A14" s="111" t="s">
        <v>126</v>
      </c>
    </row>
    <row r="15" spans="1:1" x14ac:dyDescent="0.25">
      <c r="A15" s="119" t="s">
        <v>145</v>
      </c>
    </row>
    <row r="16" spans="1:1" x14ac:dyDescent="0.25">
      <c r="A16" s="110" t="s">
        <v>127</v>
      </c>
    </row>
    <row r="17" spans="1:1" x14ac:dyDescent="0.25">
      <c r="A17" s="119" t="s">
        <v>146</v>
      </c>
    </row>
    <row r="18" spans="1:1" x14ac:dyDescent="0.25">
      <c r="A18" s="119" t="s">
        <v>244</v>
      </c>
    </row>
    <row r="19" spans="1:1" x14ac:dyDescent="0.25">
      <c r="A19" s="119" t="s">
        <v>245</v>
      </c>
    </row>
    <row r="20" spans="1:1" x14ac:dyDescent="0.25">
      <c r="A20" s="119"/>
    </row>
    <row r="21" spans="1:1" x14ac:dyDescent="0.25">
      <c r="A21" s="130" t="s">
        <v>149</v>
      </c>
    </row>
    <row r="22" spans="1:1" x14ac:dyDescent="0.25">
      <c r="A22" s="119" t="s">
        <v>77</v>
      </c>
    </row>
    <row r="23" spans="1:1" x14ac:dyDescent="0.25">
      <c r="A23" s="119" t="s">
        <v>150</v>
      </c>
    </row>
    <row r="24" spans="1:1" x14ac:dyDescent="0.25">
      <c r="A24" s="112"/>
    </row>
    <row r="25" spans="1:1" x14ac:dyDescent="0.25">
      <c r="A25" s="112" t="s">
        <v>249</v>
      </c>
    </row>
    <row r="26" spans="1:1" x14ac:dyDescent="0.25">
      <c r="A26" s="112" t="s">
        <v>246</v>
      </c>
    </row>
    <row r="27" spans="1:1" x14ac:dyDescent="0.25">
      <c r="A27" s="112" t="s">
        <v>247</v>
      </c>
    </row>
    <row r="28" spans="1:1" x14ac:dyDescent="0.25">
      <c r="A28" s="112" t="s">
        <v>248</v>
      </c>
    </row>
    <row r="29" spans="1:1" x14ac:dyDescent="0.25">
      <c r="A29" s="112" t="s">
        <v>250</v>
      </c>
    </row>
    <row r="30" spans="1:1" x14ac:dyDescent="0.25">
      <c r="A30" s="112" t="s">
        <v>251</v>
      </c>
    </row>
    <row r="31" spans="1:1" x14ac:dyDescent="0.25">
      <c r="A31" s="112"/>
    </row>
    <row r="32" spans="1:1" x14ac:dyDescent="0.25">
      <c r="A32" s="112"/>
    </row>
    <row r="33" spans="1:1" x14ac:dyDescent="0.25">
      <c r="A33" s="112"/>
    </row>
    <row r="34" spans="1:1" x14ac:dyDescent="0.25">
      <c r="A34" s="112"/>
    </row>
    <row r="35" spans="1:1" x14ac:dyDescent="0.25">
      <c r="A35" s="112"/>
    </row>
    <row r="36" spans="1:1" x14ac:dyDescent="0.25">
      <c r="A36" s="112"/>
    </row>
    <row r="37" spans="1:1" x14ac:dyDescent="0.25">
      <c r="A37" s="112"/>
    </row>
    <row r="38" spans="1:1" x14ac:dyDescent="0.25">
      <c r="A38" s="112"/>
    </row>
    <row r="39" spans="1:1" x14ac:dyDescent="0.25">
      <c r="A39" s="112"/>
    </row>
    <row r="40" spans="1:1" x14ac:dyDescent="0.25">
      <c r="A40" s="112"/>
    </row>
    <row r="41" spans="1:1" x14ac:dyDescent="0.25">
      <c r="A41" s="112"/>
    </row>
  </sheetData>
  <sheetProtection algorithmName="SHA-512" hashValue="R+YZXzDBUcGiPUAha9vQg/fv5H6x0VsZM9aIa/r4TmnXl5sDXbWiHNN+Y88J4SGgDAwcPOZSZnJGSQb3W9p0fw==" saltValue="a71Y4yhi6HhkMHNx5M2nDg==" spinCount="100000" sheet="1" formatCells="0" formatColumns="0" formatRows="0"/>
  <phoneticPr fontId="15" type="noConversion"/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G20"/>
  <sheetViews>
    <sheetView showGridLines="0" workbookViewId="0">
      <selection activeCell="C16" sqref="C16"/>
    </sheetView>
  </sheetViews>
  <sheetFormatPr defaultColWidth="9.33203125" defaultRowHeight="13.2" x14ac:dyDescent="0.25"/>
  <cols>
    <col min="1" max="1" width="53" style="9" bestFit="1" customWidth="1"/>
    <col min="2" max="3" width="14.6640625" style="9" customWidth="1"/>
    <col min="4" max="4" width="11.33203125" style="9" bestFit="1" customWidth="1"/>
    <col min="5" max="5" width="9.33203125" style="9"/>
    <col min="6" max="7" width="11.33203125" style="9" bestFit="1" customWidth="1"/>
    <col min="8" max="16384" width="9.33203125" style="9"/>
  </cols>
  <sheetData>
    <row r="1" spans="1:7" s="19" customFormat="1" ht="18" thickBot="1" x14ac:dyDescent="0.35">
      <c r="A1" s="385" t="s">
        <v>86</v>
      </c>
      <c r="B1" s="387"/>
      <c r="C1" s="386"/>
    </row>
    <row r="3" spans="1:7" x14ac:dyDescent="0.25">
      <c r="A3" s="64" t="s">
        <v>105</v>
      </c>
    </row>
    <row r="4" spans="1:7" ht="13.8" thickBot="1" x14ac:dyDescent="0.3"/>
    <row r="5" spans="1:7" ht="13.8" thickBot="1" x14ac:dyDescent="0.3">
      <c r="A5" s="19" t="s">
        <v>139</v>
      </c>
      <c r="C5" s="113">
        <v>6286336</v>
      </c>
      <c r="E5" s="19"/>
    </row>
    <row r="6" spans="1:7" ht="31.5" customHeight="1" thickBot="1" x14ac:dyDescent="0.3">
      <c r="A6" s="108" t="s">
        <v>104</v>
      </c>
      <c r="C6" s="122">
        <v>294776</v>
      </c>
      <c r="D6" s="17"/>
      <c r="E6" s="19"/>
      <c r="F6" s="17"/>
      <c r="G6" s="17"/>
    </row>
    <row r="7" spans="1:7" ht="13.8" thickBot="1" x14ac:dyDescent="0.3">
      <c r="C7" s="17"/>
      <c r="E7" s="19"/>
    </row>
    <row r="8" spans="1:7" ht="13.8" thickBot="1" x14ac:dyDescent="0.3">
      <c r="A8" s="14" t="s">
        <v>109</v>
      </c>
      <c r="C8" s="86">
        <f>SUM(C5:C6)</f>
        <v>6581112</v>
      </c>
      <c r="E8" s="19"/>
    </row>
    <row r="9" spans="1:7" s="19" customFormat="1" ht="13.8" thickBot="1" x14ac:dyDescent="0.3">
      <c r="A9" s="20"/>
      <c r="B9" s="20"/>
      <c r="C9" s="20"/>
      <c r="D9" s="20"/>
    </row>
    <row r="10" spans="1:7" ht="13.8" thickBot="1" x14ac:dyDescent="0.3">
      <c r="A10" s="14" t="s">
        <v>66</v>
      </c>
      <c r="C10" s="33" t="s">
        <v>65</v>
      </c>
      <c r="E10" s="19"/>
    </row>
    <row r="11" spans="1:7" s="19" customFormat="1" ht="13.8" thickBot="1" x14ac:dyDescent="0.3">
      <c r="A11" s="20" t="s">
        <v>107</v>
      </c>
      <c r="C11" s="31">
        <v>44012</v>
      </c>
    </row>
    <row r="12" spans="1:7" s="19" customFormat="1" ht="13.8" thickBot="1" x14ac:dyDescent="0.3">
      <c r="A12" s="20" t="s">
        <v>108</v>
      </c>
      <c r="C12" s="32">
        <v>45017</v>
      </c>
    </row>
    <row r="13" spans="1:7" ht="13.8" thickBot="1" x14ac:dyDescent="0.3">
      <c r="B13" s="20"/>
      <c r="D13" s="20"/>
      <c r="E13" s="19"/>
    </row>
    <row r="14" spans="1:7" ht="13.8" thickBot="1" x14ac:dyDescent="0.3">
      <c r="A14" s="14" t="s">
        <v>124</v>
      </c>
      <c r="B14" s="91">
        <f>ESCALATION_FACTORS!$B$4</f>
        <v>44377</v>
      </c>
      <c r="C14" s="100">
        <f>VLOOKUP($C$10,ESCALATION_FACTORS!$A$5:$D$9,2,)</f>
        <v>2.2499999999999999E-2</v>
      </c>
      <c r="E14" s="19"/>
    </row>
    <row r="15" spans="1:7" s="19" customFormat="1" ht="13.8" thickBot="1" x14ac:dyDescent="0.3">
      <c r="A15" s="20"/>
      <c r="B15" s="91">
        <f>ESCALATION_FACTORS!$C$4</f>
        <v>44742</v>
      </c>
      <c r="C15" s="100">
        <f>VLOOKUP($C$10,ESCALATION_FACTORS!$A$5:$D$9,3,)</f>
        <v>1.2500000000000001E-2</v>
      </c>
      <c r="D15" s="20"/>
    </row>
    <row r="16" spans="1:7" s="19" customFormat="1" ht="13.8" thickBot="1" x14ac:dyDescent="0.3">
      <c r="A16" s="20"/>
      <c r="B16" s="91">
        <f>ESCALATION_FACTORS!$D$4</f>
        <v>45107</v>
      </c>
      <c r="C16" s="100">
        <f>VLOOKUP($C$10,ESCALATION_FACTORS!$A$5:$D$9,4,)</f>
        <v>0.02</v>
      </c>
      <c r="D16" s="20"/>
    </row>
    <row r="17" spans="1:4" s="19" customFormat="1" ht="13.8" thickBot="1" x14ac:dyDescent="0.3">
      <c r="A17" s="20"/>
      <c r="B17" s="20"/>
      <c r="C17" s="20"/>
      <c r="D17" s="20"/>
    </row>
    <row r="18" spans="1:4" ht="13.8" thickBot="1" x14ac:dyDescent="0.3">
      <c r="A18" s="14" t="s">
        <v>86</v>
      </c>
      <c r="C18" s="86">
        <f>C8*IF(C11&lt;=B14,(1+C14)^((MIN(C12,B14)-MAX(C11,DATE(YEAR(B14)-1,6,30)))/(B14-DATE(YEAR(B14)-1,6,30))),1)*IF(AND(C11&lt;=B15,C12&gt;=B14),(1+C15)^((MIN(C12,B15)-MAX(C11,B14))/(B15-B14)),1)*IF(C12&gt;=B15,(1+C16)^((C12-MAX(C11,B15))/(B16-B15)),1)</f>
        <v>6915716.9810821163</v>
      </c>
    </row>
    <row r="19" spans="1:4" x14ac:dyDescent="0.25">
      <c r="A19" s="112"/>
      <c r="B19" s="112"/>
      <c r="C19" s="112"/>
    </row>
    <row r="20" spans="1:4" x14ac:dyDescent="0.25">
      <c r="A20" s="112"/>
      <c r="B20" s="112"/>
      <c r="C20" s="112"/>
    </row>
  </sheetData>
  <sheetProtection algorithmName="SHA-512" hashValue="iSzCA/mNS/5qCpTy1DDV6X7CRHnFsZwD2oldJmMrWRBDGvLj01vxUpQkMCoNHoMIfa8xEDsZGA+pDDjXUaaG5g==" saltValue="R2HEuUP4TRHmfzsTGs0Ftg==" spinCount="100000" sheet="1" formatCells="0" formatColumns="0" formatRows="0"/>
  <mergeCells count="1">
    <mergeCell ref="A1:C1"/>
  </mergeCells>
  <phoneticPr fontId="8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0"/>
  <sheetViews>
    <sheetView showGridLines="0" zoomScaleNormal="100" workbookViewId="0">
      <selection activeCell="D8" sqref="D8"/>
    </sheetView>
  </sheetViews>
  <sheetFormatPr defaultColWidth="9.33203125" defaultRowHeight="13.2" x14ac:dyDescent="0.25"/>
  <cols>
    <col min="1" max="1" width="37.5546875" style="9" customWidth="1"/>
    <col min="2" max="5" width="10.33203125" style="9" customWidth="1"/>
    <col min="6" max="16384" width="9.33203125" style="9"/>
  </cols>
  <sheetData>
    <row r="1" spans="1:13" ht="18" thickBot="1" x14ac:dyDescent="0.35">
      <c r="A1" s="385" t="s">
        <v>64</v>
      </c>
      <c r="B1" s="387"/>
      <c r="C1" s="387"/>
      <c r="D1" s="386"/>
      <c r="E1" s="141"/>
    </row>
    <row r="2" spans="1:13" x14ac:dyDescent="0.25">
      <c r="F2"/>
    </row>
    <row r="3" spans="1:13" x14ac:dyDescent="0.25">
      <c r="B3" s="388"/>
      <c r="C3" s="388"/>
      <c r="D3" s="388"/>
      <c r="E3" s="173"/>
      <c r="F3"/>
    </row>
    <row r="4" spans="1:13" x14ac:dyDescent="0.25">
      <c r="B4" s="204">
        <v>44377</v>
      </c>
      <c r="C4" s="204">
        <v>44742</v>
      </c>
      <c r="D4" s="204">
        <v>45107</v>
      </c>
      <c r="E4" s="204">
        <v>45473</v>
      </c>
      <c r="F4"/>
      <c r="G4" s="19"/>
      <c r="H4" s="19"/>
      <c r="I4" s="19"/>
      <c r="J4" s="19"/>
    </row>
    <row r="5" spans="1:13" ht="18" customHeight="1" x14ac:dyDescent="0.25">
      <c r="A5" s="20" t="s">
        <v>78</v>
      </c>
      <c r="B5" s="118">
        <v>-7.8369999999999995E-2</v>
      </c>
      <c r="C5" s="118">
        <v>-3.6450000000000003E-2</v>
      </c>
      <c r="D5" s="118">
        <v>-2.5000000000000001E-4</v>
      </c>
      <c r="E5" s="118">
        <v>2.9829999999999999E-2</v>
      </c>
      <c r="F5"/>
      <c r="G5" s="19"/>
      <c r="H5" s="19"/>
      <c r="I5" s="19"/>
      <c r="J5" s="19"/>
    </row>
    <row r="6" spans="1:13" ht="18" customHeight="1" x14ac:dyDescent="0.25">
      <c r="A6" s="20" t="s">
        <v>99</v>
      </c>
      <c r="B6" s="118">
        <v>-7.3000000000000001E-3</v>
      </c>
      <c r="C6" s="118">
        <v>-1.5E-3</v>
      </c>
      <c r="D6" s="118">
        <v>1.1599999999999999E-2</v>
      </c>
      <c r="E6" s="118">
        <v>1.84E-2</v>
      </c>
      <c r="F6"/>
      <c r="G6" s="19"/>
      <c r="H6" s="19"/>
      <c r="I6" s="19"/>
      <c r="J6" s="19"/>
    </row>
    <row r="7" spans="1:13" ht="18" customHeight="1" x14ac:dyDescent="0.25">
      <c r="A7" s="20" t="s">
        <v>121</v>
      </c>
      <c r="B7" s="118">
        <v>9.5999999999999992E-3</v>
      </c>
      <c r="C7" s="118">
        <v>9.4999999999999998E-3</v>
      </c>
      <c r="D7" s="118">
        <v>1.6799999999999999E-2</v>
      </c>
      <c r="E7" s="118">
        <v>2.53E-2</v>
      </c>
      <c r="F7"/>
      <c r="G7" s="19"/>
      <c r="H7" s="19"/>
      <c r="I7" s="19"/>
      <c r="J7" s="19"/>
    </row>
    <row r="8" spans="1:13" ht="18" customHeight="1" x14ac:dyDescent="0.25">
      <c r="A8" s="20" t="s">
        <v>65</v>
      </c>
      <c r="B8" s="118">
        <v>2.2499999999999999E-2</v>
      </c>
      <c r="C8" s="118">
        <v>1.2500000000000001E-2</v>
      </c>
      <c r="D8" s="118">
        <f>((1.5+2.5)/2)%</f>
        <v>0.02</v>
      </c>
      <c r="E8" s="118">
        <v>2.5000000000000001E-2</v>
      </c>
      <c r="F8" s="101"/>
      <c r="G8" s="19"/>
      <c r="H8" s="19"/>
      <c r="I8" s="19"/>
      <c r="J8" s="19"/>
      <c r="M8" s="101"/>
    </row>
    <row r="9" spans="1:13" ht="18" customHeight="1" x14ac:dyDescent="0.25">
      <c r="A9" s="20" t="s">
        <v>122</v>
      </c>
      <c r="B9" s="118">
        <v>7.3000000000000001E-3</v>
      </c>
      <c r="C9" s="118">
        <v>7.3000000000000001E-3</v>
      </c>
      <c r="D9" s="118">
        <v>7.3000000000000001E-3</v>
      </c>
      <c r="E9" s="118">
        <v>7.3000000000000001E-3</v>
      </c>
      <c r="F9"/>
      <c r="G9" s="19"/>
      <c r="H9" s="19"/>
      <c r="I9" s="19"/>
      <c r="J9" s="19"/>
    </row>
    <row r="10" spans="1:13" x14ac:dyDescent="0.25">
      <c r="A10"/>
      <c r="B10"/>
      <c r="C10"/>
      <c r="D10"/>
      <c r="E10"/>
      <c r="F10"/>
    </row>
  </sheetData>
  <sheetProtection algorithmName="SHA-512" hashValue="M2+Mnph6o2cMrEPKfEuD9ab35U2o3p6PknIpqbejcPUp4svF+hveDeFs1JhkBbQzuvMaiHC6EiL3NCXKpBW2ug==" saltValue="ESH1vooncpjPPvZ4DwwXtA==" spinCount="100000" sheet="1" formatCells="0" formatColumns="0" formatRows="0"/>
  <mergeCells count="2">
    <mergeCell ref="A1:D1"/>
    <mergeCell ref="B3:D3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523B-40FD-4461-ABAB-D69B308A3B1E}">
  <dimension ref="A1:G41"/>
  <sheetViews>
    <sheetView showGridLines="0" zoomScaleNormal="100" workbookViewId="0">
      <selection activeCell="F28" sqref="F28"/>
    </sheetView>
  </sheetViews>
  <sheetFormatPr defaultColWidth="0" defaultRowHeight="12.75" customHeight="1" zeroHeight="1" x14ac:dyDescent="0.25"/>
  <cols>
    <col min="1" max="1" width="10.33203125" style="142" customWidth="1"/>
    <col min="2" max="2" width="16.44140625" style="142" customWidth="1"/>
    <col min="3" max="3" width="13.5546875" style="142" customWidth="1"/>
    <col min="4" max="4" width="13.33203125" style="142" customWidth="1"/>
    <col min="5" max="5" width="37.5546875" style="142" customWidth="1"/>
    <col min="6" max="6" width="19.6640625" style="142" customWidth="1"/>
    <col min="7" max="7" width="10.33203125" style="142" customWidth="1"/>
    <col min="8" max="16384" width="9.33203125" style="142" hidden="1"/>
  </cols>
  <sheetData>
    <row r="1" spans="1:7" ht="13.8" thickBot="1" x14ac:dyDescent="0.3">
      <c r="A1" s="202"/>
      <c r="B1" s="202"/>
      <c r="C1" s="202"/>
      <c r="D1" s="202"/>
      <c r="E1" s="202"/>
      <c r="F1" s="202"/>
      <c r="G1" s="202"/>
    </row>
    <row r="2" spans="1:7" ht="13.8" thickBot="1" x14ac:dyDescent="0.3">
      <c r="A2" s="202"/>
      <c r="B2" s="389" t="s">
        <v>160</v>
      </c>
      <c r="C2" s="390"/>
      <c r="D2" s="391"/>
      <c r="E2" s="288"/>
      <c r="F2" s="288"/>
      <c r="G2" s="202"/>
    </row>
    <row r="3" spans="1:7" ht="13.8" thickBot="1" x14ac:dyDescent="0.3">
      <c r="A3" s="202"/>
      <c r="B3" s="289" t="s">
        <v>161</v>
      </c>
      <c r="C3" s="290" t="s">
        <v>162</v>
      </c>
      <c r="D3" s="291" t="s">
        <v>163</v>
      </c>
      <c r="E3" s="288"/>
      <c r="F3" s="288"/>
      <c r="G3" s="203"/>
    </row>
    <row r="4" spans="1:7" ht="13.8" thickBot="1" x14ac:dyDescent="0.3">
      <c r="A4" s="202"/>
      <c r="B4" s="292" t="s">
        <v>164</v>
      </c>
      <c r="C4" s="293">
        <v>47624</v>
      </c>
      <c r="D4" s="294">
        <v>47838</v>
      </c>
      <c r="E4" s="288"/>
      <c r="F4" s="288"/>
      <c r="G4" s="202"/>
    </row>
    <row r="5" spans="1:7" ht="13.8" thickBot="1" x14ac:dyDescent="0.3">
      <c r="A5" s="202"/>
      <c r="B5" s="288"/>
      <c r="C5" s="288"/>
      <c r="D5" s="288"/>
      <c r="E5" s="288"/>
      <c r="F5" s="288"/>
      <c r="G5" s="202"/>
    </row>
    <row r="6" spans="1:7" ht="27" thickBot="1" x14ac:dyDescent="0.3">
      <c r="A6" s="202"/>
      <c r="B6" s="295" t="s">
        <v>165</v>
      </c>
      <c r="C6" s="296" t="str">
        <f>C3</f>
        <v>TB155</v>
      </c>
      <c r="D6" s="297" t="str">
        <f>D3</f>
        <v>TB160</v>
      </c>
      <c r="E6" s="298" t="s">
        <v>166</v>
      </c>
      <c r="F6" s="299" t="s">
        <v>167</v>
      </c>
      <c r="G6" s="202"/>
    </row>
    <row r="7" spans="1:7" ht="13.2" x14ac:dyDescent="0.25">
      <c r="A7" s="202"/>
      <c r="B7" s="300">
        <v>44105</v>
      </c>
      <c r="C7" s="301">
        <v>0.84499999999999997</v>
      </c>
      <c r="D7" s="301">
        <v>0.89500000000000002</v>
      </c>
      <c r="E7" s="302">
        <f t="shared" ref="E7:E22" si="0">DATE(YEAR(B7)+10,MONTH(B7),DAY(B7))</f>
        <v>47757</v>
      </c>
      <c r="F7" s="303">
        <f t="shared" ref="F7:F26" si="1">C7+(E7-C$4)*(D7-C7)/(D$4-C$4)</f>
        <v>0.87607476635514014</v>
      </c>
      <c r="G7" s="202"/>
    </row>
    <row r="8" spans="1:7" ht="13.2" x14ac:dyDescent="0.25">
      <c r="A8" s="202"/>
      <c r="B8" s="304">
        <v>44106</v>
      </c>
      <c r="C8" s="305">
        <v>0.78</v>
      </c>
      <c r="D8" s="305">
        <v>0.83</v>
      </c>
      <c r="E8" s="306">
        <f t="shared" si="0"/>
        <v>47758</v>
      </c>
      <c r="F8" s="307">
        <f t="shared" si="1"/>
        <v>0.81130841121495323</v>
      </c>
      <c r="G8" s="202"/>
    </row>
    <row r="9" spans="1:7" ht="13.2" x14ac:dyDescent="0.25">
      <c r="A9" s="202"/>
      <c r="B9" s="304">
        <v>44110</v>
      </c>
      <c r="C9" s="305">
        <v>0.83</v>
      </c>
      <c r="D9" s="305">
        <v>0.88</v>
      </c>
      <c r="E9" s="306">
        <f t="shared" si="0"/>
        <v>47762</v>
      </c>
      <c r="F9" s="307">
        <f>C9+(E9-C$4)*(D9-C9)/(D$4-C$4)</f>
        <v>0.86224299065420562</v>
      </c>
      <c r="G9" s="202"/>
    </row>
    <row r="10" spans="1:7" ht="13.2" x14ac:dyDescent="0.25">
      <c r="A10" s="202"/>
      <c r="B10" s="304">
        <v>44111</v>
      </c>
      <c r="C10" s="305">
        <v>0.79</v>
      </c>
      <c r="D10" s="305">
        <v>0.84</v>
      </c>
      <c r="E10" s="306">
        <f t="shared" si="0"/>
        <v>47763</v>
      </c>
      <c r="F10" s="307">
        <f t="shared" si="1"/>
        <v>0.82247663551401873</v>
      </c>
      <c r="G10" s="202"/>
    </row>
    <row r="11" spans="1:7" ht="13.2" x14ac:dyDescent="0.25">
      <c r="A11" s="202"/>
      <c r="B11" s="304">
        <v>44112</v>
      </c>
      <c r="C11" s="305">
        <v>0.81499999999999995</v>
      </c>
      <c r="D11" s="305">
        <v>0.86499999999999999</v>
      </c>
      <c r="E11" s="306">
        <f t="shared" si="0"/>
        <v>47764</v>
      </c>
      <c r="F11" s="307">
        <f t="shared" si="1"/>
        <v>0.84771028037383178</v>
      </c>
      <c r="G11" s="202"/>
    </row>
    <row r="12" spans="1:7" ht="13.2" x14ac:dyDescent="0.25">
      <c r="A12" s="202"/>
      <c r="B12" s="304">
        <v>44113</v>
      </c>
      <c r="C12" s="305">
        <v>0.8</v>
      </c>
      <c r="D12" s="305">
        <v>0.85</v>
      </c>
      <c r="E12" s="306">
        <f t="shared" si="0"/>
        <v>47765</v>
      </c>
      <c r="F12" s="307">
        <f t="shared" si="1"/>
        <v>0.83294392523364491</v>
      </c>
      <c r="G12" s="202"/>
    </row>
    <row r="13" spans="1:7" ht="13.2" x14ac:dyDescent="0.25">
      <c r="A13" s="202"/>
      <c r="B13" s="304">
        <v>44117</v>
      </c>
      <c r="C13" s="305">
        <v>0.79500000000000004</v>
      </c>
      <c r="D13" s="305">
        <v>0.84499999999999997</v>
      </c>
      <c r="E13" s="306">
        <f t="shared" si="0"/>
        <v>47769</v>
      </c>
      <c r="F13" s="307">
        <f t="shared" si="1"/>
        <v>0.82887850467289714</v>
      </c>
      <c r="G13" s="202"/>
    </row>
    <row r="14" spans="1:7" ht="13.2" x14ac:dyDescent="0.25">
      <c r="A14" s="202"/>
      <c r="B14" s="304">
        <v>44118</v>
      </c>
      <c r="C14" s="305">
        <v>0.78500000000000003</v>
      </c>
      <c r="D14" s="305">
        <v>0.83499999999999996</v>
      </c>
      <c r="E14" s="306">
        <f t="shared" si="0"/>
        <v>47770</v>
      </c>
      <c r="F14" s="307">
        <f t="shared" si="1"/>
        <v>0.81911214953271028</v>
      </c>
      <c r="G14" s="202"/>
    </row>
    <row r="15" spans="1:7" ht="13.2" x14ac:dyDescent="0.25">
      <c r="A15" s="202"/>
      <c r="B15" s="304">
        <v>44119</v>
      </c>
      <c r="C15" s="305">
        <v>0.71</v>
      </c>
      <c r="D15" s="305">
        <v>0.76</v>
      </c>
      <c r="E15" s="306">
        <f>DATE(YEAR(B15)+10,MONTH(B15),DAY(B15))</f>
        <v>47771</v>
      </c>
      <c r="F15" s="307">
        <f t="shared" si="1"/>
        <v>0.74434579439252335</v>
      </c>
      <c r="G15" s="202"/>
    </row>
    <row r="16" spans="1:7" ht="13.2" x14ac:dyDescent="0.25">
      <c r="A16" s="202"/>
      <c r="B16" s="304">
        <v>44120</v>
      </c>
      <c r="C16" s="305">
        <v>0.67</v>
      </c>
      <c r="D16" s="305">
        <v>0.72</v>
      </c>
      <c r="E16" s="306">
        <f t="shared" si="0"/>
        <v>47772</v>
      </c>
      <c r="F16" s="307">
        <f t="shared" si="1"/>
        <v>0.70457943925233646</v>
      </c>
      <c r="G16" s="202"/>
    </row>
    <row r="17" spans="1:7" ht="13.2" x14ac:dyDescent="0.25">
      <c r="A17" s="202"/>
      <c r="B17" s="304">
        <v>44123</v>
      </c>
      <c r="C17" s="305">
        <v>0.7</v>
      </c>
      <c r="D17" s="305">
        <v>0.75</v>
      </c>
      <c r="E17" s="306">
        <f t="shared" si="0"/>
        <v>47775</v>
      </c>
      <c r="F17" s="307">
        <f t="shared" si="1"/>
        <v>0.73528037383177569</v>
      </c>
      <c r="G17" s="202"/>
    </row>
    <row r="18" spans="1:7" ht="13.2" x14ac:dyDescent="0.25">
      <c r="A18" s="202"/>
      <c r="B18" s="304">
        <v>44124</v>
      </c>
      <c r="C18" s="305">
        <v>0.70499999999999996</v>
      </c>
      <c r="D18" s="305">
        <v>0.755</v>
      </c>
      <c r="E18" s="306">
        <f t="shared" si="0"/>
        <v>47776</v>
      </c>
      <c r="F18" s="307">
        <f t="shared" si="1"/>
        <v>0.74051401869158873</v>
      </c>
      <c r="G18" s="202"/>
    </row>
    <row r="19" spans="1:7" ht="13.2" x14ac:dyDescent="0.25">
      <c r="A19" s="202"/>
      <c r="B19" s="304">
        <v>44125</v>
      </c>
      <c r="C19" s="305">
        <v>0.75</v>
      </c>
      <c r="D19" s="305">
        <v>0.8</v>
      </c>
      <c r="E19" s="306">
        <f t="shared" si="0"/>
        <v>47777</v>
      </c>
      <c r="F19" s="307">
        <f t="shared" si="1"/>
        <v>0.78574766355140191</v>
      </c>
      <c r="G19" s="202"/>
    </row>
    <row r="20" spans="1:7" ht="13.2" x14ac:dyDescent="0.25">
      <c r="A20" s="202"/>
      <c r="B20" s="304">
        <v>44126</v>
      </c>
      <c r="C20" s="305">
        <v>0.76</v>
      </c>
      <c r="D20" s="305">
        <v>0.81</v>
      </c>
      <c r="E20" s="306">
        <f t="shared" si="0"/>
        <v>47778</v>
      </c>
      <c r="F20" s="307">
        <f t="shared" si="1"/>
        <v>0.79598130841121495</v>
      </c>
      <c r="G20" s="202"/>
    </row>
    <row r="21" spans="1:7" ht="13.2" x14ac:dyDescent="0.25">
      <c r="A21" s="202"/>
      <c r="B21" s="304">
        <v>44127</v>
      </c>
      <c r="C21" s="305">
        <v>0.80500000000000005</v>
      </c>
      <c r="D21" s="305">
        <v>0.85499999999999998</v>
      </c>
      <c r="E21" s="306">
        <f t="shared" si="0"/>
        <v>47779</v>
      </c>
      <c r="F21" s="307">
        <f t="shared" si="1"/>
        <v>0.84121495327102802</v>
      </c>
      <c r="G21" s="202"/>
    </row>
    <row r="22" spans="1:7" ht="13.2" x14ac:dyDescent="0.25">
      <c r="A22" s="202"/>
      <c r="B22" s="304">
        <v>44130</v>
      </c>
      <c r="C22" s="305">
        <v>0.755</v>
      </c>
      <c r="D22" s="305">
        <v>0.80500000000000005</v>
      </c>
      <c r="E22" s="306">
        <f t="shared" si="0"/>
        <v>47782</v>
      </c>
      <c r="F22" s="307">
        <f t="shared" si="1"/>
        <v>0.79191588785046729</v>
      </c>
      <c r="G22" s="202"/>
    </row>
    <row r="23" spans="1:7" ht="13.2" x14ac:dyDescent="0.25">
      <c r="A23" s="202"/>
      <c r="B23" s="304">
        <v>44131</v>
      </c>
      <c r="C23" s="305">
        <v>0.75</v>
      </c>
      <c r="D23" s="305">
        <v>0.8</v>
      </c>
      <c r="E23" s="306">
        <f>DATE(YEAR(B23)+10,MONTH(B23),DAY(B23))</f>
        <v>47783</v>
      </c>
      <c r="F23" s="307">
        <f t="shared" si="1"/>
        <v>0.78714953271028043</v>
      </c>
      <c r="G23" s="202"/>
    </row>
    <row r="24" spans="1:7" ht="13.2" x14ac:dyDescent="0.25">
      <c r="A24" s="202"/>
      <c r="B24" s="304">
        <v>44132</v>
      </c>
      <c r="C24" s="305">
        <v>0.73</v>
      </c>
      <c r="D24" s="305">
        <v>0.78</v>
      </c>
      <c r="E24" s="306">
        <f>DATE(YEAR(B24)+10,MONTH(B24),DAY(B24))</f>
        <v>47784</v>
      </c>
      <c r="F24" s="307">
        <f>C24+(E24-C$4)*(D24-C24)/(D$4-C$4)</f>
        <v>0.76738317757009344</v>
      </c>
      <c r="G24" s="202"/>
    </row>
    <row r="25" spans="1:7" ht="13.2" x14ac:dyDescent="0.25">
      <c r="A25" s="202"/>
      <c r="B25" s="304">
        <v>44133</v>
      </c>
      <c r="C25" s="305">
        <v>0.76</v>
      </c>
      <c r="D25" s="305">
        <v>0.81</v>
      </c>
      <c r="E25" s="306">
        <f>DATE(YEAR(B25)+10,MONTH(B25),DAY(B25))</f>
        <v>47785</v>
      </c>
      <c r="F25" s="307">
        <f t="shared" si="1"/>
        <v>0.79761682242990661</v>
      </c>
      <c r="G25" s="202"/>
    </row>
    <row r="26" spans="1:7" ht="13.8" thickBot="1" x14ac:dyDescent="0.3">
      <c r="A26" s="202"/>
      <c r="B26" s="308">
        <v>44134</v>
      </c>
      <c r="C26" s="309">
        <v>0.77500000000000002</v>
      </c>
      <c r="D26" s="309">
        <v>0.82499999999999996</v>
      </c>
      <c r="E26" s="310">
        <f>DATE(YEAR(B26)+10,MONTH(B26),DAY(B26))</f>
        <v>47786</v>
      </c>
      <c r="F26" s="311">
        <f t="shared" si="1"/>
        <v>0.81285046728971955</v>
      </c>
      <c r="G26" s="202"/>
    </row>
    <row r="27" spans="1:7" ht="13.8" thickBot="1" x14ac:dyDescent="0.3">
      <c r="A27" s="202"/>
      <c r="B27" s="288"/>
      <c r="C27" s="312"/>
      <c r="D27" s="312"/>
      <c r="E27" s="288"/>
      <c r="F27" s="288"/>
      <c r="G27" s="202"/>
    </row>
    <row r="28" spans="1:7" ht="13.8" thickBot="1" x14ac:dyDescent="0.3">
      <c r="A28" s="202"/>
      <c r="B28" s="288"/>
      <c r="C28" s="288"/>
      <c r="D28" s="288"/>
      <c r="E28" s="313" t="s">
        <v>168</v>
      </c>
      <c r="F28" s="314">
        <f>(1+AVERAGE(F7:F26)/(2*100))^2-1</f>
        <v>8.0186742073808936E-3</v>
      </c>
      <c r="G28" s="202"/>
    </row>
    <row r="29" spans="1:7" ht="13.2" x14ac:dyDescent="0.25">
      <c r="A29" s="202"/>
      <c r="B29" s="202"/>
      <c r="C29" s="202"/>
      <c r="D29" s="202"/>
      <c r="E29" s="202"/>
      <c r="F29" s="202"/>
      <c r="G29" s="202"/>
    </row>
    <row r="30" spans="1:7" ht="12.75" customHeight="1" x14ac:dyDescent="0.25"/>
    <row r="31" spans="1:7" ht="12.75" customHeight="1" x14ac:dyDescent="0.25"/>
    <row r="32" spans="1: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hidden="1" customHeight="1" x14ac:dyDescent="0.25"/>
    <row r="37" ht="12.75" hidden="1" customHeight="1" x14ac:dyDescent="0.25"/>
    <row r="38" ht="12.75" hidden="1" customHeight="1" x14ac:dyDescent="0.25"/>
    <row r="39" ht="12.75" hidden="1" customHeight="1" x14ac:dyDescent="0.25"/>
    <row r="40" ht="12.75" hidden="1" customHeight="1" x14ac:dyDescent="0.25"/>
    <row r="41" ht="12.75" hidden="1" customHeight="1" x14ac:dyDescent="0.25"/>
  </sheetData>
  <sheetProtection algorithmName="SHA-512" hashValue="kJNZIIS8iGjN2l4GJGCcW/rYiehQKWWUMMGKoHMIcNMAU2HrotAMvhemIs6gSCeFE/DQtu/er1UW1H9Og0/8zQ==" saltValue="jBf8A9B4zr+UVlp6Km/a0A==" spinCount="100000" sheet="1" objects="1" scenarios="1" formatCells="0" formatColumns="0"/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AD168-F95C-4FBF-85A0-98A83E6E55C0}">
  <dimension ref="A1:M607"/>
  <sheetViews>
    <sheetView showGridLines="0" topLeftCell="A121" zoomScaleNormal="100" workbookViewId="0">
      <selection activeCell="J25" sqref="J25"/>
    </sheetView>
  </sheetViews>
  <sheetFormatPr defaultColWidth="0" defaultRowHeight="12.75" customHeight="1" zeroHeight="1" x14ac:dyDescent="0.25"/>
  <cols>
    <col min="1" max="1" width="10.33203125" style="145" customWidth="1"/>
    <col min="2" max="2" width="12.6640625" style="145" customWidth="1"/>
    <col min="3" max="3" width="12.6640625" style="146" customWidth="1"/>
    <col min="4" max="5" width="25.5546875" style="145" customWidth="1"/>
    <col min="6" max="6" width="11.88671875" style="145" customWidth="1"/>
    <col min="7" max="7" width="10.33203125" style="145" customWidth="1"/>
    <col min="8" max="8" width="21.109375" style="145" bestFit="1" customWidth="1"/>
    <col min="9" max="13" width="8.88671875" style="145" customWidth="1"/>
    <col min="14" max="16384" width="9.33203125" style="145" hidden="1"/>
  </cols>
  <sheetData>
    <row r="1" spans="1:8" ht="13.2" x14ac:dyDescent="0.25">
      <c r="A1" s="219"/>
      <c r="B1" s="219"/>
      <c r="C1" s="220"/>
      <c r="D1" s="219"/>
      <c r="E1" s="219"/>
      <c r="F1" s="219"/>
      <c r="G1" s="219"/>
      <c r="H1" s="219"/>
    </row>
    <row r="2" spans="1:8" ht="13.2" x14ac:dyDescent="0.25">
      <c r="A2" s="219"/>
      <c r="B2" s="219"/>
      <c r="C2" s="220"/>
      <c r="D2" s="219"/>
      <c r="E2" s="219"/>
      <c r="F2" s="219"/>
      <c r="G2" s="219"/>
      <c r="H2" s="219"/>
    </row>
    <row r="3" spans="1:8" ht="13.2" x14ac:dyDescent="0.25">
      <c r="A3" s="219"/>
      <c r="B3" s="219"/>
      <c r="C3" s="220"/>
      <c r="D3" s="219"/>
      <c r="E3" s="219"/>
      <c r="F3" s="219"/>
      <c r="G3" s="219"/>
      <c r="H3" s="219"/>
    </row>
    <row r="4" spans="1:8" ht="13.2" x14ac:dyDescent="0.25">
      <c r="A4" s="219"/>
      <c r="B4" s="219"/>
      <c r="C4" s="220"/>
      <c r="D4" s="219"/>
      <c r="E4" s="219"/>
      <c r="F4" s="219"/>
      <c r="G4" s="219"/>
      <c r="H4" s="219"/>
    </row>
    <row r="5" spans="1:8" ht="13.2" x14ac:dyDescent="0.25">
      <c r="A5" s="219"/>
      <c r="B5" s="219"/>
      <c r="C5" s="220"/>
      <c r="D5" s="219"/>
      <c r="E5" s="219"/>
      <c r="F5" s="219"/>
      <c r="G5" s="219"/>
      <c r="H5" s="219"/>
    </row>
    <row r="6" spans="1:8" ht="13.2" x14ac:dyDescent="0.25">
      <c r="A6" s="219"/>
      <c r="B6" s="219"/>
      <c r="C6" s="220"/>
      <c r="D6" s="219"/>
      <c r="E6" s="219"/>
      <c r="F6" s="219"/>
      <c r="G6" s="219"/>
      <c r="H6" s="219"/>
    </row>
    <row r="7" spans="1:8" ht="13.2" x14ac:dyDescent="0.25">
      <c r="A7" s="219"/>
      <c r="B7" s="219"/>
      <c r="C7" s="220"/>
      <c r="D7" s="219"/>
      <c r="E7" s="219"/>
      <c r="F7" s="219"/>
      <c r="G7" s="219"/>
      <c r="H7" s="219"/>
    </row>
    <row r="8" spans="1:8" ht="13.2" x14ac:dyDescent="0.25">
      <c r="A8" s="219"/>
      <c r="B8" s="219"/>
      <c r="C8" s="220"/>
      <c r="D8" s="219"/>
      <c r="E8" s="219"/>
      <c r="F8" s="219"/>
      <c r="G8" s="219"/>
      <c r="H8" s="219"/>
    </row>
    <row r="9" spans="1:8" ht="13.2" x14ac:dyDescent="0.25">
      <c r="A9" s="219"/>
      <c r="B9" s="219"/>
      <c r="C9" s="220"/>
      <c r="D9" s="219"/>
      <c r="E9" s="219"/>
      <c r="F9" s="219"/>
      <c r="G9" s="219"/>
      <c r="H9" s="219"/>
    </row>
    <row r="10" spans="1:8" ht="13.2" x14ac:dyDescent="0.25">
      <c r="A10" s="219"/>
      <c r="B10" s="219"/>
      <c r="C10" s="220"/>
      <c r="D10" s="219"/>
      <c r="E10" s="219"/>
      <c r="F10" s="219"/>
      <c r="G10" s="219"/>
      <c r="H10" s="219"/>
    </row>
    <row r="11" spans="1:8" ht="13.2" x14ac:dyDescent="0.25">
      <c r="A11" s="219"/>
      <c r="B11" s="219"/>
      <c r="C11" s="220"/>
      <c r="D11" s="219"/>
      <c r="E11" s="219"/>
      <c r="F11" s="219"/>
      <c r="G11" s="219"/>
      <c r="H11" s="219"/>
    </row>
    <row r="12" spans="1:8" ht="13.2" x14ac:dyDescent="0.25">
      <c r="A12" s="219"/>
      <c r="B12" s="219"/>
      <c r="C12" s="220"/>
      <c r="D12" s="219"/>
      <c r="E12" s="219"/>
      <c r="F12" s="219"/>
      <c r="G12" s="219"/>
      <c r="H12" s="219"/>
    </row>
    <row r="13" spans="1:8" ht="13.2" x14ac:dyDescent="0.25">
      <c r="A13" s="219"/>
      <c r="B13" s="219"/>
      <c r="C13" s="220"/>
      <c r="D13" s="219"/>
      <c r="E13" s="219"/>
      <c r="F13" s="219"/>
      <c r="G13" s="219"/>
      <c r="H13" s="219"/>
    </row>
    <row r="14" spans="1:8" ht="13.2" x14ac:dyDescent="0.25">
      <c r="A14" s="219"/>
      <c r="B14" s="219"/>
      <c r="C14" s="220"/>
      <c r="D14" s="219"/>
      <c r="E14" s="219"/>
      <c r="F14" s="219"/>
      <c r="G14" s="219"/>
      <c r="H14" s="219"/>
    </row>
    <row r="15" spans="1:8" ht="13.2" x14ac:dyDescent="0.25">
      <c r="A15" s="219"/>
      <c r="B15" s="219"/>
      <c r="C15" s="220"/>
      <c r="D15" s="219"/>
      <c r="E15" s="219"/>
      <c r="F15" s="219"/>
      <c r="G15" s="219"/>
      <c r="H15" s="219"/>
    </row>
    <row r="16" spans="1:8" ht="13.2" x14ac:dyDescent="0.25">
      <c r="A16" s="219"/>
      <c r="B16" s="219"/>
      <c r="C16" s="220"/>
      <c r="D16" s="219"/>
      <c r="E16" s="219"/>
      <c r="F16" s="219"/>
      <c r="G16" s="219"/>
      <c r="H16" s="219"/>
    </row>
    <row r="17" spans="1:8" ht="13.2" x14ac:dyDescent="0.25">
      <c r="A17" s="219"/>
      <c r="B17" s="219"/>
      <c r="C17" s="220"/>
      <c r="D17" s="219"/>
      <c r="E17" s="219"/>
      <c r="F17" s="219"/>
      <c r="G17" s="219"/>
      <c r="H17" s="219"/>
    </row>
    <row r="18" spans="1:8" ht="13.2" x14ac:dyDescent="0.25">
      <c r="A18" s="219"/>
      <c r="B18" s="219"/>
      <c r="C18" s="220"/>
      <c r="D18" s="219"/>
      <c r="E18" s="219"/>
      <c r="F18" s="219"/>
      <c r="G18" s="219"/>
      <c r="H18" s="219"/>
    </row>
    <row r="19" spans="1:8" ht="13.2" x14ac:dyDescent="0.25">
      <c r="A19" s="219"/>
      <c r="B19" s="219"/>
      <c r="C19" s="220"/>
      <c r="D19" s="219"/>
      <c r="E19" s="219"/>
      <c r="F19" s="219"/>
      <c r="G19" s="219"/>
      <c r="H19" s="219"/>
    </row>
    <row r="20" spans="1:8" ht="13.2" x14ac:dyDescent="0.25">
      <c r="A20" s="219"/>
      <c r="B20" s="219"/>
      <c r="C20" s="220"/>
      <c r="D20" s="219"/>
      <c r="E20" s="219"/>
      <c r="F20" s="219"/>
      <c r="G20" s="219"/>
      <c r="H20" s="219"/>
    </row>
    <row r="21" spans="1:8" ht="13.2" x14ac:dyDescent="0.25">
      <c r="A21" s="219"/>
      <c r="B21" s="219"/>
      <c r="C21" s="220"/>
      <c r="D21" s="219"/>
      <c r="E21" s="219"/>
      <c r="F21" s="219"/>
      <c r="G21" s="219"/>
      <c r="H21" s="219"/>
    </row>
    <row r="22" spans="1:8" ht="13.2" x14ac:dyDescent="0.25">
      <c r="A22" s="219"/>
      <c r="B22" s="219"/>
      <c r="C22" s="220"/>
      <c r="D22" s="219"/>
      <c r="E22" s="219"/>
      <c r="F22" s="219"/>
      <c r="G22" s="219"/>
      <c r="H22" s="219"/>
    </row>
    <row r="23" spans="1:8" ht="13.2" x14ac:dyDescent="0.25">
      <c r="A23" s="219"/>
      <c r="B23" s="219"/>
      <c r="C23" s="220"/>
      <c r="D23" s="219"/>
      <c r="E23" s="219"/>
      <c r="F23" s="219"/>
      <c r="G23" s="219"/>
      <c r="H23" s="219"/>
    </row>
    <row r="24" spans="1:8" ht="13.2" x14ac:dyDescent="0.25">
      <c r="A24" s="219"/>
      <c r="B24" s="219"/>
      <c r="C24" s="220"/>
      <c r="D24" s="219"/>
      <c r="E24" s="219"/>
      <c r="F24" s="219"/>
      <c r="G24" s="219"/>
      <c r="H24" s="219"/>
    </row>
    <row r="25" spans="1:8" ht="13.2" x14ac:dyDescent="0.25">
      <c r="A25" s="219"/>
      <c r="B25" s="219"/>
      <c r="C25" s="220"/>
      <c r="D25" s="219"/>
      <c r="E25" s="219"/>
      <c r="F25" s="219"/>
      <c r="G25" s="219"/>
      <c r="H25" s="219"/>
    </row>
    <row r="26" spans="1:8" ht="13.2" x14ac:dyDescent="0.25">
      <c r="A26" s="219"/>
      <c r="B26" s="219"/>
      <c r="C26" s="220"/>
      <c r="D26" s="219"/>
      <c r="E26" s="219"/>
      <c r="F26" s="219"/>
      <c r="G26" s="219"/>
      <c r="H26" s="219"/>
    </row>
    <row r="27" spans="1:8" ht="13.2" x14ac:dyDescent="0.25">
      <c r="A27" s="219"/>
      <c r="B27" s="219"/>
      <c r="C27" s="220"/>
      <c r="D27" s="219"/>
      <c r="E27" s="219"/>
      <c r="F27" s="219"/>
      <c r="G27" s="219"/>
      <c r="H27" s="219"/>
    </row>
    <row r="28" spans="1:8" ht="13.2" x14ac:dyDescent="0.25">
      <c r="A28" s="219"/>
      <c r="B28" s="219"/>
      <c r="C28" s="220"/>
      <c r="D28" s="219"/>
      <c r="E28" s="219"/>
      <c r="F28" s="219"/>
      <c r="G28" s="219"/>
      <c r="H28" s="219"/>
    </row>
    <row r="29" spans="1:8" ht="13.2" x14ac:dyDescent="0.25">
      <c r="A29" s="219"/>
      <c r="B29" s="219"/>
      <c r="C29" s="220"/>
      <c r="D29" s="219"/>
      <c r="E29" s="219"/>
      <c r="F29" s="219"/>
      <c r="G29" s="219"/>
      <c r="H29" s="219"/>
    </row>
    <row r="30" spans="1:8" ht="13.2" x14ac:dyDescent="0.25">
      <c r="A30" s="219"/>
      <c r="B30" s="219"/>
      <c r="C30" s="220"/>
      <c r="D30" s="219"/>
      <c r="E30" s="219"/>
      <c r="F30" s="219"/>
      <c r="G30" s="219"/>
      <c r="H30" s="219"/>
    </row>
    <row r="31" spans="1:8" ht="13.2" x14ac:dyDescent="0.25">
      <c r="A31" s="219"/>
      <c r="B31" s="219"/>
      <c r="C31" s="220"/>
      <c r="D31" s="219"/>
      <c r="E31" s="219"/>
      <c r="F31" s="219"/>
      <c r="G31" s="219"/>
      <c r="H31" s="219"/>
    </row>
    <row r="32" spans="1:8" ht="15.6" x14ac:dyDescent="0.3">
      <c r="A32" s="219"/>
      <c r="B32" s="219"/>
      <c r="C32" s="221" t="s">
        <v>165</v>
      </c>
      <c r="D32" s="287" t="s">
        <v>204</v>
      </c>
      <c r="E32" s="287" t="s">
        <v>205</v>
      </c>
      <c r="F32" s="219"/>
      <c r="G32" s="219"/>
      <c r="H32" s="219"/>
    </row>
    <row r="33" spans="1:8" ht="13.2" x14ac:dyDescent="0.25">
      <c r="A33" s="205"/>
      <c r="B33" s="207"/>
      <c r="C33" s="315">
        <v>43964</v>
      </c>
      <c r="D33" s="316">
        <v>9.5999999999999992E-3</v>
      </c>
      <c r="E33" s="316">
        <v>1.0149999999999999E-2</v>
      </c>
      <c r="F33" s="208"/>
      <c r="G33" s="209"/>
      <c r="H33" s="208"/>
    </row>
    <row r="34" spans="1:8" ht="13.2" x14ac:dyDescent="0.25">
      <c r="A34" s="205"/>
      <c r="B34" s="207"/>
      <c r="C34" s="315">
        <v>43965</v>
      </c>
      <c r="D34" s="316">
        <v>9.0000000000000011E-3</v>
      </c>
      <c r="E34" s="316">
        <v>9.5499999999999995E-3</v>
      </c>
      <c r="F34" s="208"/>
      <c r="G34" s="210"/>
      <c r="H34" s="205"/>
    </row>
    <row r="35" spans="1:8" ht="13.2" x14ac:dyDescent="0.25">
      <c r="A35" s="205"/>
      <c r="B35" s="207"/>
      <c r="C35" s="315">
        <v>43966</v>
      </c>
      <c r="D35" s="316">
        <v>9.1000000000000004E-3</v>
      </c>
      <c r="E35" s="316">
        <v>9.6499999999999989E-3</v>
      </c>
      <c r="F35" s="208"/>
      <c r="G35" s="210"/>
      <c r="H35" s="205"/>
    </row>
    <row r="36" spans="1:8" ht="13.2" x14ac:dyDescent="0.25">
      <c r="A36" s="205"/>
      <c r="B36" s="207"/>
      <c r="C36" s="315">
        <v>43969</v>
      </c>
      <c r="D36" s="316">
        <v>9.1000000000000004E-3</v>
      </c>
      <c r="E36" s="316">
        <v>9.6499999999999989E-3</v>
      </c>
      <c r="F36" s="208"/>
      <c r="G36" s="210"/>
      <c r="H36" s="205"/>
    </row>
    <row r="37" spans="1:8" ht="13.2" x14ac:dyDescent="0.25">
      <c r="A37" s="205"/>
      <c r="B37" s="207"/>
      <c r="C37" s="315">
        <v>43970</v>
      </c>
      <c r="D37" s="316">
        <v>9.7999999999999997E-3</v>
      </c>
      <c r="E37" s="316">
        <v>1.035E-2</v>
      </c>
      <c r="F37" s="208"/>
      <c r="G37" s="210"/>
      <c r="H37" s="205"/>
    </row>
    <row r="38" spans="1:8" ht="13.2" x14ac:dyDescent="0.25">
      <c r="A38" s="205"/>
      <c r="B38" s="207"/>
      <c r="C38" s="315">
        <v>43971</v>
      </c>
      <c r="D38" s="316">
        <v>9.4999999999999998E-3</v>
      </c>
      <c r="E38" s="316">
        <v>1.0049999999999998E-2</v>
      </c>
      <c r="F38" s="208"/>
      <c r="G38" s="210"/>
      <c r="H38" s="205"/>
    </row>
    <row r="39" spans="1:8" ht="13.2" x14ac:dyDescent="0.25">
      <c r="A39" s="205"/>
      <c r="B39" s="207"/>
      <c r="C39" s="315">
        <v>43972</v>
      </c>
      <c r="D39" s="316">
        <v>9.1500000000000001E-3</v>
      </c>
      <c r="E39" s="316">
        <v>9.7000000000000003E-3</v>
      </c>
      <c r="F39" s="208"/>
      <c r="G39" s="210"/>
      <c r="H39" s="205"/>
    </row>
    <row r="40" spans="1:8" ht="13.2" x14ac:dyDescent="0.25">
      <c r="A40" s="205"/>
      <c r="B40" s="207"/>
      <c r="C40" s="315">
        <v>43973</v>
      </c>
      <c r="D40" s="316">
        <v>8.6999999999999994E-3</v>
      </c>
      <c r="E40" s="316">
        <v>9.2500000000000013E-3</v>
      </c>
      <c r="F40" s="208"/>
      <c r="G40" s="210"/>
      <c r="H40" s="205"/>
    </row>
    <row r="41" spans="1:8" ht="13.2" x14ac:dyDescent="0.25">
      <c r="A41" s="205"/>
      <c r="B41" s="207"/>
      <c r="C41" s="315">
        <v>43976</v>
      </c>
      <c r="D41" s="316">
        <v>8.6E-3</v>
      </c>
      <c r="E41" s="316">
        <v>9.1500000000000001E-3</v>
      </c>
      <c r="F41" s="208"/>
      <c r="G41" s="210"/>
      <c r="H41" s="205"/>
    </row>
    <row r="42" spans="1:8" ht="13.2" x14ac:dyDescent="0.25">
      <c r="A42" s="205"/>
      <c r="B42" s="207"/>
      <c r="C42" s="315">
        <v>43977</v>
      </c>
      <c r="D42" s="316">
        <v>8.8500000000000002E-3</v>
      </c>
      <c r="E42" s="316">
        <v>9.3999999999999986E-3</v>
      </c>
      <c r="F42" s="208"/>
      <c r="G42" s="210"/>
      <c r="H42" s="205"/>
    </row>
    <row r="43" spans="1:8" ht="13.2" x14ac:dyDescent="0.25">
      <c r="A43" s="205"/>
      <c r="B43" s="207"/>
      <c r="C43" s="315">
        <v>43978</v>
      </c>
      <c r="D43" s="316">
        <v>8.8000000000000005E-3</v>
      </c>
      <c r="E43" s="316">
        <v>9.3500000000000007E-3</v>
      </c>
      <c r="F43" s="208"/>
      <c r="G43" s="210"/>
      <c r="H43" s="205"/>
    </row>
    <row r="44" spans="1:8" ht="13.2" x14ac:dyDescent="0.25">
      <c r="A44" s="205"/>
      <c r="B44" s="207"/>
      <c r="C44" s="315">
        <v>43979</v>
      </c>
      <c r="D44" s="316">
        <v>8.8000000000000005E-3</v>
      </c>
      <c r="E44" s="316">
        <v>9.3500000000000007E-3</v>
      </c>
      <c r="F44" s="208"/>
      <c r="G44" s="210"/>
      <c r="H44" s="205"/>
    </row>
    <row r="45" spans="1:8" ht="13.2" x14ac:dyDescent="0.25">
      <c r="A45" s="205"/>
      <c r="B45" s="207"/>
      <c r="C45" s="315">
        <v>43980</v>
      </c>
      <c r="D45" s="316">
        <v>8.8500000000000002E-3</v>
      </c>
      <c r="E45" s="316">
        <v>9.3999999999999986E-3</v>
      </c>
      <c r="F45" s="208"/>
      <c r="G45" s="210"/>
      <c r="H45" s="205"/>
    </row>
    <row r="46" spans="1:8" ht="13.2" x14ac:dyDescent="0.25">
      <c r="A46" s="205"/>
      <c r="B46" s="207"/>
      <c r="C46" s="315">
        <v>43983</v>
      </c>
      <c r="D46" s="316">
        <v>8.9499999999999996E-3</v>
      </c>
      <c r="E46" s="316">
        <v>9.4999999999999998E-3</v>
      </c>
      <c r="F46" s="208"/>
      <c r="G46" s="210"/>
      <c r="H46" s="205"/>
    </row>
    <row r="47" spans="1:8" ht="13.2" x14ac:dyDescent="0.25">
      <c r="A47" s="205"/>
      <c r="B47" s="207"/>
      <c r="C47" s="315">
        <v>43984</v>
      </c>
      <c r="D47" s="316">
        <v>9.0500000000000008E-3</v>
      </c>
      <c r="E47" s="316">
        <v>9.5999999999999992E-3</v>
      </c>
      <c r="F47" s="208"/>
      <c r="G47" s="210"/>
      <c r="H47" s="205"/>
    </row>
    <row r="48" spans="1:8" ht="13.2" x14ac:dyDescent="0.25">
      <c r="A48" s="205"/>
      <c r="B48" s="207"/>
      <c r="C48" s="315">
        <v>43985</v>
      </c>
      <c r="D48" s="316">
        <v>9.6499999999999989E-3</v>
      </c>
      <c r="E48" s="316">
        <v>1.0200000000000001E-2</v>
      </c>
      <c r="F48" s="208"/>
      <c r="G48" s="210"/>
      <c r="H48" s="205"/>
    </row>
    <row r="49" spans="1:8" ht="13.2" x14ac:dyDescent="0.25">
      <c r="A49" s="205"/>
      <c r="B49" s="207"/>
      <c r="C49" s="315">
        <v>43986</v>
      </c>
      <c r="D49" s="316">
        <v>1.0200000000000001E-2</v>
      </c>
      <c r="E49" s="316">
        <v>1.0700000000000001E-2</v>
      </c>
      <c r="F49" s="208"/>
      <c r="G49" s="210"/>
      <c r="H49" s="205"/>
    </row>
    <row r="50" spans="1:8" ht="13.2" x14ac:dyDescent="0.25">
      <c r="A50" s="205"/>
      <c r="B50" s="207"/>
      <c r="C50" s="315">
        <v>43987</v>
      </c>
      <c r="D50" s="316">
        <v>1.09E-2</v>
      </c>
      <c r="E50" s="316">
        <v>1.145E-2</v>
      </c>
      <c r="F50" s="208"/>
      <c r="G50" s="210"/>
      <c r="H50" s="205"/>
    </row>
    <row r="51" spans="1:8" ht="13.2" x14ac:dyDescent="0.25">
      <c r="A51" s="205"/>
      <c r="B51" s="207"/>
      <c r="C51" s="315">
        <v>43991</v>
      </c>
      <c r="D51" s="316">
        <v>1.0500000000000001E-2</v>
      </c>
      <c r="E51" s="316">
        <v>1.1049999999999999E-2</v>
      </c>
      <c r="F51" s="208"/>
      <c r="G51" s="210"/>
      <c r="H51" s="205"/>
    </row>
    <row r="52" spans="1:8" ht="13.2" x14ac:dyDescent="0.25">
      <c r="A52" s="205"/>
      <c r="B52" s="207"/>
      <c r="C52" s="315">
        <v>43992</v>
      </c>
      <c r="D52" s="316">
        <v>1.0200000000000001E-2</v>
      </c>
      <c r="E52" s="316">
        <v>1.0700000000000001E-2</v>
      </c>
      <c r="F52" s="208"/>
      <c r="G52" s="210"/>
      <c r="H52" s="205"/>
    </row>
    <row r="53" spans="1:8" ht="13.2" x14ac:dyDescent="0.25">
      <c r="A53" s="205"/>
      <c r="B53" s="207"/>
      <c r="C53" s="315">
        <v>43993</v>
      </c>
      <c r="D53" s="316">
        <v>9.1999999999999998E-3</v>
      </c>
      <c r="E53" s="316">
        <v>9.7000000000000003E-3</v>
      </c>
      <c r="F53" s="208"/>
      <c r="G53" s="210"/>
      <c r="H53" s="205"/>
    </row>
    <row r="54" spans="1:8" ht="13.2" x14ac:dyDescent="0.25">
      <c r="A54" s="205"/>
      <c r="B54" s="207"/>
      <c r="C54" s="315">
        <v>43994</v>
      </c>
      <c r="D54" s="316">
        <v>9.1000000000000004E-3</v>
      </c>
      <c r="E54" s="316">
        <v>9.5999999999999992E-3</v>
      </c>
      <c r="F54" s="208"/>
      <c r="G54" s="210"/>
      <c r="H54" s="205"/>
    </row>
    <row r="55" spans="1:8" ht="13.2" x14ac:dyDescent="0.25">
      <c r="A55" s="205"/>
      <c r="B55" s="207"/>
      <c r="C55" s="315">
        <v>43997</v>
      </c>
      <c r="D55" s="316">
        <v>8.6E-3</v>
      </c>
      <c r="E55" s="316">
        <v>9.1000000000000004E-3</v>
      </c>
      <c r="F55" s="208"/>
      <c r="G55" s="210"/>
      <c r="H55" s="205"/>
    </row>
    <row r="56" spans="1:8" ht="13.2" x14ac:dyDescent="0.25">
      <c r="A56" s="205"/>
      <c r="B56" s="207"/>
      <c r="C56" s="315">
        <v>43998</v>
      </c>
      <c r="D56" s="316">
        <v>9.1500000000000001E-3</v>
      </c>
      <c r="E56" s="316">
        <v>9.6499999999999989E-3</v>
      </c>
      <c r="F56" s="208"/>
      <c r="G56" s="210"/>
      <c r="H56" s="205"/>
    </row>
    <row r="57" spans="1:8" ht="13.2" x14ac:dyDescent="0.25">
      <c r="A57" s="205"/>
      <c r="B57" s="207"/>
      <c r="C57" s="315">
        <v>43999</v>
      </c>
      <c r="D57" s="316">
        <v>9.1500000000000001E-3</v>
      </c>
      <c r="E57" s="316">
        <v>9.6499999999999989E-3</v>
      </c>
      <c r="F57" s="208"/>
      <c r="G57" s="210"/>
      <c r="H57" s="205"/>
    </row>
    <row r="58" spans="1:8" ht="13.2" x14ac:dyDescent="0.25">
      <c r="A58" s="205"/>
      <c r="B58" s="207"/>
      <c r="C58" s="315">
        <v>44000</v>
      </c>
      <c r="D58" s="316">
        <v>8.8000000000000005E-3</v>
      </c>
      <c r="E58" s="316">
        <v>9.300000000000001E-3</v>
      </c>
      <c r="F58" s="208"/>
      <c r="G58" s="210"/>
      <c r="H58" s="205"/>
    </row>
    <row r="59" spans="1:8" ht="13.2" x14ac:dyDescent="0.25">
      <c r="A59" s="205"/>
      <c r="B59" s="207"/>
      <c r="C59" s="315">
        <v>44001</v>
      </c>
      <c r="D59" s="316">
        <v>8.6E-3</v>
      </c>
      <c r="E59" s="316">
        <v>9.1000000000000004E-3</v>
      </c>
      <c r="F59" s="208"/>
      <c r="G59" s="210"/>
      <c r="H59" s="205"/>
    </row>
    <row r="60" spans="1:8" ht="13.2" x14ac:dyDescent="0.25">
      <c r="A60" s="205"/>
      <c r="B60" s="207"/>
      <c r="C60" s="315">
        <v>44004</v>
      </c>
      <c r="D60" s="316">
        <v>8.6499999999999997E-3</v>
      </c>
      <c r="E60" s="316">
        <v>9.1500000000000001E-3</v>
      </c>
      <c r="F60" s="208"/>
      <c r="G60" s="210"/>
      <c r="H60" s="205"/>
    </row>
    <row r="61" spans="1:8" ht="13.2" x14ac:dyDescent="0.25">
      <c r="A61" s="205"/>
      <c r="B61" s="207"/>
      <c r="C61" s="315">
        <v>44005</v>
      </c>
      <c r="D61" s="316">
        <v>9.0000000000000011E-3</v>
      </c>
      <c r="E61" s="316">
        <v>9.4999999999999998E-3</v>
      </c>
      <c r="F61" s="208"/>
      <c r="G61" s="210"/>
      <c r="H61" s="205"/>
    </row>
    <row r="62" spans="1:8" ht="13.2" x14ac:dyDescent="0.25">
      <c r="A62" s="205"/>
      <c r="B62" s="207"/>
      <c r="C62" s="315">
        <v>44006</v>
      </c>
      <c r="D62" s="317">
        <v>9.1999999999999998E-3</v>
      </c>
      <c r="E62" s="317">
        <v>9.7000000000000003E-3</v>
      </c>
      <c r="F62" s="208"/>
      <c r="G62" s="210"/>
      <c r="H62" s="205"/>
    </row>
    <row r="63" spans="1:8" ht="13.2" x14ac:dyDescent="0.25">
      <c r="A63" s="205"/>
      <c r="B63" s="207"/>
      <c r="C63" s="315">
        <v>44007</v>
      </c>
      <c r="D63" s="317">
        <v>8.8000000000000005E-3</v>
      </c>
      <c r="E63" s="317">
        <v>9.300000000000001E-3</v>
      </c>
      <c r="F63" s="208"/>
      <c r="G63" s="210"/>
      <c r="H63" s="205"/>
    </row>
    <row r="64" spans="1:8" ht="13.2" x14ac:dyDescent="0.25">
      <c r="A64" s="205"/>
      <c r="B64" s="207"/>
      <c r="C64" s="315">
        <v>44008</v>
      </c>
      <c r="D64" s="317">
        <v>8.6499999999999997E-3</v>
      </c>
      <c r="E64" s="317">
        <v>9.1500000000000001E-3</v>
      </c>
      <c r="F64" s="208"/>
      <c r="G64" s="210"/>
      <c r="H64" s="205"/>
    </row>
    <row r="65" spans="1:8" ht="13.2" x14ac:dyDescent="0.25">
      <c r="A65" s="205"/>
      <c r="B65" s="207"/>
      <c r="C65" s="315">
        <v>44011</v>
      </c>
      <c r="D65" s="317">
        <v>8.8000000000000005E-3</v>
      </c>
      <c r="E65" s="317">
        <v>9.300000000000001E-3</v>
      </c>
      <c r="F65" s="208"/>
      <c r="G65" s="210"/>
      <c r="H65" s="205"/>
    </row>
    <row r="66" spans="1:8" ht="13.2" x14ac:dyDescent="0.25">
      <c r="A66" s="205"/>
      <c r="B66" s="207"/>
      <c r="C66" s="315">
        <v>44012</v>
      </c>
      <c r="D66" s="317">
        <v>8.6999999999999994E-3</v>
      </c>
      <c r="E66" s="317">
        <v>9.1999999999999998E-3</v>
      </c>
      <c r="F66" s="208"/>
      <c r="G66" s="210"/>
      <c r="H66" s="205"/>
    </row>
    <row r="67" spans="1:8" ht="13.2" x14ac:dyDescent="0.25">
      <c r="A67" s="205"/>
      <c r="B67" s="207"/>
      <c r="C67" s="315">
        <v>44013</v>
      </c>
      <c r="D67" s="317">
        <v>9.3500000000000007E-3</v>
      </c>
      <c r="E67" s="317">
        <v>9.8499999999999994E-3</v>
      </c>
      <c r="F67" s="208"/>
      <c r="G67" s="210"/>
      <c r="H67" s="205"/>
    </row>
    <row r="68" spans="1:8" ht="13.2" x14ac:dyDescent="0.25">
      <c r="A68" s="205"/>
      <c r="B68" s="207"/>
      <c r="C68" s="315">
        <v>44014</v>
      </c>
      <c r="D68" s="317">
        <v>9.1999999999999998E-3</v>
      </c>
      <c r="E68" s="317">
        <v>9.75E-3</v>
      </c>
      <c r="F68" s="208"/>
      <c r="G68" s="210"/>
      <c r="H68" s="205"/>
    </row>
    <row r="69" spans="1:8" ht="13.2" x14ac:dyDescent="0.25">
      <c r="A69" s="205"/>
      <c r="B69" s="207"/>
      <c r="C69" s="315">
        <v>44015</v>
      </c>
      <c r="D69" s="317">
        <v>9.0500000000000008E-3</v>
      </c>
      <c r="E69" s="317">
        <v>9.5499999999999995E-3</v>
      </c>
      <c r="F69" s="208"/>
      <c r="G69" s="210"/>
      <c r="H69" s="205"/>
    </row>
    <row r="70" spans="1:8" ht="13.2" x14ac:dyDescent="0.25">
      <c r="A70" s="205"/>
      <c r="B70" s="207"/>
      <c r="C70" s="315">
        <v>44018</v>
      </c>
      <c r="D70" s="317">
        <v>9.1999999999999998E-3</v>
      </c>
      <c r="E70" s="317">
        <v>9.75E-3</v>
      </c>
      <c r="F70" s="208"/>
      <c r="G70" s="210"/>
      <c r="H70" s="205"/>
    </row>
    <row r="71" spans="1:8" ht="13.2" x14ac:dyDescent="0.25">
      <c r="A71" s="205"/>
      <c r="B71" s="207"/>
      <c r="C71" s="315">
        <v>44019</v>
      </c>
      <c r="D71" s="317">
        <v>8.8500000000000002E-3</v>
      </c>
      <c r="E71" s="317">
        <v>9.3500000000000007E-3</v>
      </c>
      <c r="F71" s="208"/>
      <c r="G71" s="210"/>
      <c r="H71" s="205"/>
    </row>
    <row r="72" spans="1:8" ht="13.2" x14ac:dyDescent="0.25">
      <c r="A72" s="205"/>
      <c r="B72" s="207"/>
      <c r="C72" s="315">
        <v>44020</v>
      </c>
      <c r="D72" s="317">
        <v>8.6999999999999994E-3</v>
      </c>
      <c r="E72" s="317">
        <v>9.1999999999999998E-3</v>
      </c>
      <c r="F72" s="208"/>
      <c r="G72" s="210"/>
      <c r="H72" s="205"/>
    </row>
    <row r="73" spans="1:8" ht="13.2" x14ac:dyDescent="0.25">
      <c r="A73" s="205"/>
      <c r="B73" s="207"/>
      <c r="C73" s="315">
        <v>44021</v>
      </c>
      <c r="D73" s="317">
        <v>9.0000000000000011E-3</v>
      </c>
      <c r="E73" s="317">
        <v>9.4999999999999998E-3</v>
      </c>
      <c r="F73" s="208"/>
      <c r="G73" s="210"/>
      <c r="H73" s="205"/>
    </row>
    <row r="74" spans="1:8" ht="13.2" x14ac:dyDescent="0.25">
      <c r="A74" s="205"/>
      <c r="B74" s="207"/>
      <c r="C74" s="315">
        <v>44022</v>
      </c>
      <c r="D74" s="317">
        <v>8.6E-3</v>
      </c>
      <c r="E74" s="317">
        <v>9.1000000000000004E-3</v>
      </c>
      <c r="F74" s="208"/>
      <c r="G74" s="210"/>
      <c r="H74" s="205"/>
    </row>
    <row r="75" spans="1:8" ht="13.2" x14ac:dyDescent="0.25">
      <c r="A75" s="205"/>
      <c r="B75" s="207"/>
      <c r="C75" s="315">
        <v>44025</v>
      </c>
      <c r="D75" s="317">
        <v>9.0000000000000011E-3</v>
      </c>
      <c r="E75" s="317">
        <v>9.4999999999999998E-3</v>
      </c>
      <c r="F75" s="208"/>
      <c r="G75" s="210"/>
      <c r="H75" s="205"/>
    </row>
    <row r="76" spans="1:8" ht="13.2" x14ac:dyDescent="0.25">
      <c r="A76" s="205"/>
      <c r="B76" s="207"/>
      <c r="C76" s="315">
        <v>44026</v>
      </c>
      <c r="D76" s="317">
        <v>9.1000000000000004E-3</v>
      </c>
      <c r="E76" s="317">
        <v>9.5999999999999992E-3</v>
      </c>
      <c r="F76" s="208"/>
      <c r="G76" s="210"/>
      <c r="H76" s="205"/>
    </row>
    <row r="77" spans="1:8" ht="13.2" x14ac:dyDescent="0.25">
      <c r="A77" s="205"/>
      <c r="B77" s="207"/>
      <c r="C77" s="315">
        <v>44027</v>
      </c>
      <c r="D77" s="317">
        <v>8.6999999999999994E-3</v>
      </c>
      <c r="E77" s="317">
        <v>9.1999999999999998E-3</v>
      </c>
      <c r="F77" s="208"/>
      <c r="G77" s="210"/>
      <c r="H77" s="205"/>
    </row>
    <row r="78" spans="1:8" ht="13.2" x14ac:dyDescent="0.25">
      <c r="A78" s="205"/>
      <c r="B78" s="207"/>
      <c r="C78" s="315">
        <v>44028</v>
      </c>
      <c r="D78" s="317">
        <v>8.8000000000000005E-3</v>
      </c>
      <c r="E78" s="317">
        <v>9.3500000000000007E-3</v>
      </c>
      <c r="F78" s="208"/>
      <c r="G78" s="210"/>
      <c r="H78" s="205"/>
    </row>
    <row r="79" spans="1:8" ht="13.2" x14ac:dyDescent="0.25">
      <c r="A79" s="205"/>
      <c r="B79" s="207"/>
      <c r="C79" s="315">
        <v>44029</v>
      </c>
      <c r="D79" s="317">
        <v>8.6499999999999997E-3</v>
      </c>
      <c r="E79" s="317">
        <v>9.1999999999999998E-3</v>
      </c>
      <c r="F79" s="208"/>
      <c r="G79" s="210"/>
      <c r="H79" s="205"/>
    </row>
    <row r="80" spans="1:8" ht="13.2" x14ac:dyDescent="0.25">
      <c r="A80" s="205"/>
      <c r="B80" s="207"/>
      <c r="C80" s="315">
        <v>44032</v>
      </c>
      <c r="D80" s="317">
        <v>8.8500000000000002E-3</v>
      </c>
      <c r="E80" s="317">
        <v>9.3999999999999986E-3</v>
      </c>
      <c r="F80" s="208"/>
      <c r="G80" s="210"/>
      <c r="H80" s="205"/>
    </row>
    <row r="81" spans="1:8" ht="13.2" x14ac:dyDescent="0.25">
      <c r="A81" s="205"/>
      <c r="B81" s="207"/>
      <c r="C81" s="315">
        <v>44033</v>
      </c>
      <c r="D81" s="317">
        <v>8.6499999999999997E-3</v>
      </c>
      <c r="E81" s="317">
        <v>9.1500000000000001E-3</v>
      </c>
      <c r="F81" s="208"/>
      <c r="G81" s="210"/>
      <c r="H81" s="205"/>
    </row>
    <row r="82" spans="1:8" ht="13.2" x14ac:dyDescent="0.25">
      <c r="A82" s="205"/>
      <c r="B82" s="207"/>
      <c r="C82" s="315">
        <v>44034</v>
      </c>
      <c r="D82" s="317">
        <v>8.8500000000000002E-3</v>
      </c>
      <c r="E82" s="317">
        <v>9.3999999999999986E-3</v>
      </c>
      <c r="F82" s="208"/>
      <c r="G82" s="210"/>
      <c r="H82" s="205"/>
    </row>
    <row r="83" spans="1:8" ht="13.2" x14ac:dyDescent="0.25">
      <c r="A83" s="205"/>
      <c r="B83" s="207"/>
      <c r="C83" s="315">
        <v>44035</v>
      </c>
      <c r="D83" s="317">
        <v>8.6E-3</v>
      </c>
      <c r="E83" s="317">
        <v>9.1000000000000004E-3</v>
      </c>
      <c r="F83" s="208"/>
      <c r="G83" s="210"/>
      <c r="H83" s="205"/>
    </row>
    <row r="84" spans="1:8" ht="13.2" x14ac:dyDescent="0.25">
      <c r="A84" s="205"/>
      <c r="B84" s="207"/>
      <c r="C84" s="315">
        <v>44036</v>
      </c>
      <c r="D84" s="317">
        <v>8.6499999999999997E-3</v>
      </c>
      <c r="E84" s="317">
        <v>9.1500000000000001E-3</v>
      </c>
      <c r="F84" s="208"/>
      <c r="G84" s="210"/>
      <c r="H84" s="205"/>
    </row>
    <row r="85" spans="1:8" ht="13.2" x14ac:dyDescent="0.25">
      <c r="A85" s="205"/>
      <c r="B85" s="207"/>
      <c r="C85" s="315">
        <v>44039</v>
      </c>
      <c r="D85" s="317">
        <v>8.8500000000000002E-3</v>
      </c>
      <c r="E85" s="317">
        <v>9.3500000000000007E-3</v>
      </c>
      <c r="F85" s="208"/>
      <c r="G85" s="210"/>
      <c r="H85" s="205"/>
    </row>
    <row r="86" spans="1:8" ht="13.2" x14ac:dyDescent="0.25">
      <c r="A86" s="205"/>
      <c r="B86" s="207"/>
      <c r="C86" s="315">
        <v>44040</v>
      </c>
      <c r="D86" s="317">
        <v>9.1999999999999998E-3</v>
      </c>
      <c r="E86" s="317">
        <v>9.7000000000000003E-3</v>
      </c>
      <c r="F86" s="208"/>
      <c r="G86" s="210"/>
      <c r="H86" s="205"/>
    </row>
    <row r="87" spans="1:8" ht="13.2" x14ac:dyDescent="0.25">
      <c r="A87" s="205"/>
      <c r="B87" s="207"/>
      <c r="C87" s="315">
        <v>44041</v>
      </c>
      <c r="D87" s="317">
        <v>8.7500000000000008E-3</v>
      </c>
      <c r="E87" s="317">
        <v>9.2500000000000013E-3</v>
      </c>
      <c r="F87" s="208"/>
      <c r="G87" s="210"/>
      <c r="H87" s="205"/>
    </row>
    <row r="88" spans="1:8" ht="13.2" x14ac:dyDescent="0.25">
      <c r="A88" s="205"/>
      <c r="B88" s="207"/>
      <c r="C88" s="315">
        <v>44042</v>
      </c>
      <c r="D88" s="317">
        <v>8.5500000000000003E-3</v>
      </c>
      <c r="E88" s="317">
        <v>9.0500000000000008E-3</v>
      </c>
      <c r="F88" s="208"/>
      <c r="G88" s="210"/>
      <c r="H88" s="205"/>
    </row>
    <row r="89" spans="1:8" ht="13.2" x14ac:dyDescent="0.25">
      <c r="A89" s="205"/>
      <c r="B89" s="207"/>
      <c r="C89" s="315">
        <v>44043</v>
      </c>
      <c r="D89" s="317">
        <v>8.1499999999999993E-3</v>
      </c>
      <c r="E89" s="317">
        <v>8.6E-3</v>
      </c>
      <c r="F89" s="208"/>
      <c r="G89" s="210"/>
      <c r="H89" s="205"/>
    </row>
    <row r="90" spans="1:8" ht="13.2" x14ac:dyDescent="0.25">
      <c r="A90" s="205"/>
      <c r="B90" s="207"/>
      <c r="C90" s="315">
        <v>44047</v>
      </c>
      <c r="D90" s="317">
        <v>8.3000000000000001E-3</v>
      </c>
      <c r="E90" s="317">
        <v>8.8000000000000005E-3</v>
      </c>
      <c r="F90" s="208"/>
      <c r="G90" s="210"/>
      <c r="H90" s="205"/>
    </row>
    <row r="91" spans="1:8" ht="13.2" x14ac:dyDescent="0.25">
      <c r="A91" s="205"/>
      <c r="B91" s="207"/>
      <c r="C91" s="315">
        <v>44048</v>
      </c>
      <c r="D91" s="317">
        <v>8.199999999999999E-3</v>
      </c>
      <c r="E91" s="317">
        <v>8.6499999999999997E-3</v>
      </c>
      <c r="F91" s="208"/>
      <c r="G91" s="210"/>
      <c r="H91" s="205"/>
    </row>
    <row r="92" spans="1:8" ht="13.2" x14ac:dyDescent="0.25">
      <c r="A92" s="205"/>
      <c r="B92" s="207"/>
      <c r="C92" s="315">
        <v>44049</v>
      </c>
      <c r="D92" s="317">
        <v>8.5000000000000006E-3</v>
      </c>
      <c r="E92" s="317">
        <v>9.0000000000000011E-3</v>
      </c>
      <c r="F92" s="208"/>
      <c r="G92" s="210"/>
      <c r="H92" s="205"/>
    </row>
    <row r="93" spans="1:8" ht="13.2" x14ac:dyDescent="0.25">
      <c r="A93" s="205"/>
      <c r="B93" s="207"/>
      <c r="C93" s="315">
        <v>44050</v>
      </c>
      <c r="D93" s="317">
        <v>8.3000000000000001E-3</v>
      </c>
      <c r="E93" s="317">
        <v>8.7500000000000008E-3</v>
      </c>
      <c r="F93" s="208"/>
      <c r="G93" s="210"/>
      <c r="H93" s="205"/>
    </row>
    <row r="94" spans="1:8" ht="13.2" x14ac:dyDescent="0.25">
      <c r="A94" s="205"/>
      <c r="B94" s="207"/>
      <c r="C94" s="315">
        <v>44053</v>
      </c>
      <c r="D94" s="317">
        <v>8.6E-3</v>
      </c>
      <c r="E94" s="317">
        <v>9.1000000000000004E-3</v>
      </c>
      <c r="F94" s="208"/>
      <c r="G94" s="210"/>
      <c r="H94" s="205"/>
    </row>
    <row r="95" spans="1:8" ht="13.2" x14ac:dyDescent="0.25">
      <c r="A95" s="205"/>
      <c r="B95" s="207"/>
      <c r="C95" s="315">
        <v>44054</v>
      </c>
      <c r="D95" s="317">
        <v>8.6499999999999997E-3</v>
      </c>
      <c r="E95" s="317">
        <v>9.1500000000000001E-3</v>
      </c>
      <c r="F95" s="208"/>
      <c r="G95" s="210"/>
      <c r="H95" s="205"/>
    </row>
    <row r="96" spans="1:8" ht="13.2" x14ac:dyDescent="0.25">
      <c r="A96" s="205"/>
      <c r="B96" s="207"/>
      <c r="C96" s="315">
        <v>44055</v>
      </c>
      <c r="D96" s="317">
        <v>9.1500000000000001E-3</v>
      </c>
      <c r="E96" s="317">
        <v>9.6499999999999989E-3</v>
      </c>
      <c r="F96" s="208"/>
      <c r="G96" s="210"/>
      <c r="H96" s="205"/>
    </row>
    <row r="97" spans="1:8" ht="13.2" x14ac:dyDescent="0.25">
      <c r="A97" s="205"/>
      <c r="B97" s="207"/>
      <c r="C97" s="315">
        <v>44056</v>
      </c>
      <c r="D97" s="317">
        <v>8.8500000000000002E-3</v>
      </c>
      <c r="E97" s="317">
        <v>9.3500000000000007E-3</v>
      </c>
      <c r="F97" s="208"/>
      <c r="G97" s="210"/>
      <c r="H97" s="205"/>
    </row>
    <row r="98" spans="1:8" ht="13.2" x14ac:dyDescent="0.25">
      <c r="A98" s="205"/>
      <c r="B98" s="207"/>
      <c r="C98" s="315">
        <v>44057</v>
      </c>
      <c r="D98" s="317">
        <v>9.300000000000001E-3</v>
      </c>
      <c r="E98" s="317">
        <v>9.7999999999999997E-3</v>
      </c>
      <c r="F98" s="208"/>
      <c r="G98" s="210"/>
      <c r="H98" s="205"/>
    </row>
    <row r="99" spans="1:8" ht="13.2" x14ac:dyDescent="0.25">
      <c r="A99" s="205"/>
      <c r="B99" s="207"/>
      <c r="C99" s="315">
        <v>44060</v>
      </c>
      <c r="D99" s="317">
        <v>8.9499999999999996E-3</v>
      </c>
      <c r="E99" s="317">
        <v>9.4500000000000001E-3</v>
      </c>
      <c r="F99" s="208"/>
      <c r="G99" s="210"/>
      <c r="H99" s="205"/>
    </row>
    <row r="100" spans="1:8" ht="13.2" x14ac:dyDescent="0.25">
      <c r="A100" s="205"/>
      <c r="B100" s="207"/>
      <c r="C100" s="315">
        <v>44061</v>
      </c>
      <c r="D100" s="317">
        <v>8.6999999999999994E-3</v>
      </c>
      <c r="E100" s="317">
        <v>9.1500000000000001E-3</v>
      </c>
      <c r="F100" s="208"/>
      <c r="G100" s="210"/>
      <c r="H100" s="205"/>
    </row>
    <row r="101" spans="1:8" ht="13.2" x14ac:dyDescent="0.25">
      <c r="A101" s="205"/>
      <c r="B101" s="207"/>
      <c r="C101" s="315">
        <v>44062</v>
      </c>
      <c r="D101" s="317">
        <v>8.6499999999999997E-3</v>
      </c>
      <c r="E101" s="317">
        <v>9.1000000000000004E-3</v>
      </c>
      <c r="F101" s="208"/>
      <c r="G101" s="210"/>
      <c r="H101" s="205"/>
    </row>
    <row r="102" spans="1:8" ht="13.2" x14ac:dyDescent="0.25">
      <c r="A102" s="205"/>
      <c r="B102" s="207"/>
      <c r="C102" s="315">
        <v>44063</v>
      </c>
      <c r="D102" s="317">
        <v>8.5500000000000003E-3</v>
      </c>
      <c r="E102" s="317">
        <v>9.0000000000000011E-3</v>
      </c>
      <c r="F102" s="208"/>
      <c r="G102" s="210"/>
      <c r="H102" s="205"/>
    </row>
    <row r="103" spans="1:8" ht="13.2" x14ac:dyDescent="0.25">
      <c r="A103" s="205"/>
      <c r="B103" s="207"/>
      <c r="C103" s="315">
        <v>44064</v>
      </c>
      <c r="D103" s="317">
        <v>8.8000000000000005E-3</v>
      </c>
      <c r="E103" s="317">
        <v>9.2500000000000013E-3</v>
      </c>
      <c r="F103" s="208"/>
      <c r="G103" s="210"/>
      <c r="H103" s="205"/>
    </row>
    <row r="104" spans="1:8" ht="13.2" x14ac:dyDescent="0.25">
      <c r="A104" s="205"/>
      <c r="B104" s="207"/>
      <c r="C104" s="315">
        <v>44067</v>
      </c>
      <c r="D104" s="317">
        <v>8.5500000000000003E-3</v>
      </c>
      <c r="E104" s="317">
        <v>9.0000000000000011E-3</v>
      </c>
      <c r="F104" s="208"/>
      <c r="G104" s="210"/>
      <c r="H104" s="205"/>
    </row>
    <row r="105" spans="1:8" ht="13.2" x14ac:dyDescent="0.25">
      <c r="A105" s="205"/>
      <c r="B105" s="207"/>
      <c r="C105" s="315">
        <v>44068</v>
      </c>
      <c r="D105" s="317">
        <v>8.8500000000000002E-3</v>
      </c>
      <c r="E105" s="317">
        <v>9.300000000000001E-3</v>
      </c>
      <c r="F105" s="208"/>
      <c r="G105" s="210"/>
      <c r="H105" s="205"/>
    </row>
    <row r="106" spans="1:8" ht="13.2" x14ac:dyDescent="0.25">
      <c r="A106" s="205"/>
      <c r="B106" s="207"/>
      <c r="C106" s="315">
        <v>44069</v>
      </c>
      <c r="D106" s="317">
        <v>9.4999999999999998E-3</v>
      </c>
      <c r="E106" s="317">
        <v>9.9500000000000005E-3</v>
      </c>
      <c r="F106" s="208"/>
      <c r="G106" s="210"/>
      <c r="H106" s="205"/>
    </row>
    <row r="107" spans="1:8" ht="13.2" x14ac:dyDescent="0.25">
      <c r="A107" s="205"/>
      <c r="B107" s="207"/>
      <c r="C107" s="315">
        <v>44070</v>
      </c>
      <c r="D107" s="317">
        <v>9.1500000000000001E-3</v>
      </c>
      <c r="E107" s="317">
        <v>9.5999999999999992E-3</v>
      </c>
      <c r="F107" s="208"/>
      <c r="G107" s="210"/>
      <c r="H107" s="205"/>
    </row>
    <row r="108" spans="1:8" ht="13.2" x14ac:dyDescent="0.25">
      <c r="A108" s="205"/>
      <c r="B108" s="207"/>
      <c r="C108" s="315">
        <v>44071</v>
      </c>
      <c r="D108" s="317">
        <v>1.0200000000000001E-2</v>
      </c>
      <c r="E108" s="317">
        <v>1.065E-2</v>
      </c>
      <c r="F108" s="208"/>
      <c r="G108" s="210"/>
      <c r="H108" s="205"/>
    </row>
    <row r="109" spans="1:8" ht="13.2" x14ac:dyDescent="0.25">
      <c r="A109" s="205"/>
      <c r="B109" s="207"/>
      <c r="C109" s="315">
        <v>44074</v>
      </c>
      <c r="D109" s="317">
        <v>9.7999999999999997E-3</v>
      </c>
      <c r="E109" s="317">
        <v>1.0249999999999999E-2</v>
      </c>
      <c r="F109" s="208"/>
      <c r="G109" s="210"/>
      <c r="H109" s="205"/>
    </row>
    <row r="110" spans="1:8" ht="13.2" x14ac:dyDescent="0.25">
      <c r="A110" s="205"/>
      <c r="B110" s="207"/>
      <c r="C110" s="315">
        <v>44075</v>
      </c>
      <c r="D110" s="317">
        <v>9.7000000000000003E-3</v>
      </c>
      <c r="E110" s="317">
        <v>1.0149999999999999E-2</v>
      </c>
      <c r="F110" s="208"/>
      <c r="G110" s="210"/>
      <c r="H110" s="205"/>
    </row>
    <row r="111" spans="1:8" ht="13.2" x14ac:dyDescent="0.25">
      <c r="A111" s="205"/>
      <c r="B111" s="207"/>
      <c r="C111" s="315">
        <v>44076</v>
      </c>
      <c r="D111" s="317">
        <v>9.300000000000001E-3</v>
      </c>
      <c r="E111" s="317">
        <v>9.7999999999999997E-3</v>
      </c>
      <c r="F111" s="208"/>
      <c r="G111" s="210"/>
      <c r="H111" s="205"/>
    </row>
    <row r="112" spans="1:8" ht="13.2" x14ac:dyDescent="0.25">
      <c r="A112" s="205"/>
      <c r="B112" s="207"/>
      <c r="C112" s="315">
        <v>44077</v>
      </c>
      <c r="D112" s="317">
        <v>9.1000000000000004E-3</v>
      </c>
      <c r="E112" s="317">
        <v>9.5499999999999995E-3</v>
      </c>
      <c r="F112" s="208"/>
      <c r="G112" s="210"/>
      <c r="H112" s="205"/>
    </row>
    <row r="113" spans="1:8" ht="13.2" x14ac:dyDescent="0.25">
      <c r="A113" s="205"/>
      <c r="B113" s="207"/>
      <c r="C113" s="315">
        <v>44078</v>
      </c>
      <c r="D113" s="317">
        <v>8.8999999999999999E-3</v>
      </c>
      <c r="E113" s="317">
        <v>9.3500000000000007E-3</v>
      </c>
      <c r="F113" s="208"/>
      <c r="G113" s="210"/>
      <c r="H113" s="205"/>
    </row>
    <row r="114" spans="1:8" ht="13.2" x14ac:dyDescent="0.25">
      <c r="A114" s="205"/>
      <c r="B114" s="207"/>
      <c r="C114" s="315">
        <v>44081</v>
      </c>
      <c r="D114" s="317">
        <v>9.7000000000000003E-3</v>
      </c>
      <c r="E114" s="317">
        <v>1.0149999999999999E-2</v>
      </c>
      <c r="F114" s="208"/>
      <c r="G114" s="210"/>
      <c r="H114" s="205"/>
    </row>
    <row r="115" spans="1:8" ht="13.2" x14ac:dyDescent="0.25">
      <c r="A115" s="205"/>
      <c r="B115" s="207"/>
      <c r="C115" s="315">
        <v>44082</v>
      </c>
      <c r="D115" s="317">
        <v>9.7000000000000003E-3</v>
      </c>
      <c r="E115" s="317">
        <v>1.0149999999999999E-2</v>
      </c>
      <c r="F115" s="208"/>
      <c r="G115" s="210"/>
      <c r="H115" s="205"/>
    </row>
    <row r="116" spans="1:8" ht="13.2" x14ac:dyDescent="0.25">
      <c r="A116" s="205"/>
      <c r="B116" s="207"/>
      <c r="C116" s="315">
        <v>44083</v>
      </c>
      <c r="D116" s="317">
        <v>8.8999999999999999E-3</v>
      </c>
      <c r="E116" s="317">
        <v>9.3500000000000007E-3</v>
      </c>
      <c r="F116" s="208"/>
      <c r="G116" s="210"/>
      <c r="H116" s="205"/>
    </row>
    <row r="117" spans="1:8" ht="13.2" x14ac:dyDescent="0.25">
      <c r="A117" s="205"/>
      <c r="B117" s="207"/>
      <c r="C117" s="315">
        <v>44084</v>
      </c>
      <c r="D117" s="317">
        <v>9.300000000000001E-3</v>
      </c>
      <c r="E117" s="317">
        <v>9.75E-3</v>
      </c>
      <c r="F117" s="208"/>
      <c r="G117" s="210"/>
      <c r="H117" s="205"/>
    </row>
    <row r="118" spans="1:8" ht="13.2" x14ac:dyDescent="0.25">
      <c r="A118" s="205"/>
      <c r="B118" s="207"/>
      <c r="C118" s="315">
        <v>44085</v>
      </c>
      <c r="D118" s="317">
        <v>9.1000000000000004E-3</v>
      </c>
      <c r="E118" s="317">
        <v>9.5499999999999995E-3</v>
      </c>
      <c r="F118" s="208"/>
      <c r="G118" s="210"/>
      <c r="H118" s="205"/>
    </row>
    <row r="119" spans="1:8" ht="13.2" x14ac:dyDescent="0.25">
      <c r="A119" s="205"/>
      <c r="B119" s="207"/>
      <c r="C119" s="315">
        <v>44088</v>
      </c>
      <c r="D119" s="317">
        <v>8.6999999999999994E-3</v>
      </c>
      <c r="E119" s="317">
        <v>9.1500000000000001E-3</v>
      </c>
      <c r="F119" s="208"/>
      <c r="G119" s="210"/>
      <c r="H119" s="205"/>
    </row>
    <row r="120" spans="1:8" ht="13.2" x14ac:dyDescent="0.25">
      <c r="A120" s="205"/>
      <c r="B120" s="207"/>
      <c r="C120" s="315">
        <v>44089</v>
      </c>
      <c r="D120" s="317">
        <v>8.6499999999999997E-3</v>
      </c>
      <c r="E120" s="317">
        <v>9.1000000000000004E-3</v>
      </c>
      <c r="F120" s="208"/>
      <c r="G120" s="210"/>
      <c r="H120" s="205"/>
    </row>
    <row r="121" spans="1:8" ht="13.2" x14ac:dyDescent="0.25">
      <c r="A121" s="205"/>
      <c r="B121" s="207"/>
      <c r="C121" s="315">
        <v>44090</v>
      </c>
      <c r="D121" s="317">
        <v>8.6499999999999997E-3</v>
      </c>
      <c r="E121" s="317">
        <v>9.1000000000000004E-3</v>
      </c>
      <c r="F121" s="208"/>
      <c r="G121" s="210"/>
      <c r="H121" s="205"/>
    </row>
    <row r="122" spans="1:8" ht="13.2" x14ac:dyDescent="0.25">
      <c r="A122" s="205"/>
      <c r="B122" s="207"/>
      <c r="C122" s="315">
        <v>44091</v>
      </c>
      <c r="D122" s="317">
        <v>8.4499999999999992E-3</v>
      </c>
      <c r="E122" s="317">
        <v>8.8999999999999999E-3</v>
      </c>
      <c r="F122" s="208"/>
      <c r="G122" s="210"/>
      <c r="H122" s="205"/>
    </row>
    <row r="123" spans="1:8" ht="13.2" x14ac:dyDescent="0.25">
      <c r="A123" s="205"/>
      <c r="B123" s="207"/>
      <c r="C123" s="315">
        <v>44092</v>
      </c>
      <c r="D123" s="317">
        <v>8.8500000000000002E-3</v>
      </c>
      <c r="E123" s="317">
        <v>9.3500000000000007E-3</v>
      </c>
      <c r="F123" s="208"/>
      <c r="G123" s="210"/>
      <c r="H123" s="205"/>
    </row>
    <row r="124" spans="1:8" ht="13.2" x14ac:dyDescent="0.25">
      <c r="A124" s="205"/>
      <c r="B124" s="207"/>
      <c r="C124" s="315">
        <v>44095</v>
      </c>
      <c r="D124" s="317">
        <v>8.5000000000000006E-3</v>
      </c>
      <c r="E124" s="317">
        <v>9.0000000000000011E-3</v>
      </c>
      <c r="F124" s="208"/>
      <c r="G124" s="210"/>
      <c r="H124" s="205"/>
    </row>
    <row r="125" spans="1:8" ht="13.2" x14ac:dyDescent="0.25">
      <c r="A125" s="205"/>
      <c r="B125" s="207"/>
      <c r="C125" s="315">
        <v>44096</v>
      </c>
      <c r="D125" s="317">
        <v>8.2500000000000004E-3</v>
      </c>
      <c r="E125" s="317">
        <v>8.7500000000000008E-3</v>
      </c>
      <c r="F125" s="208"/>
      <c r="G125" s="210"/>
      <c r="H125" s="205"/>
    </row>
    <row r="126" spans="1:8" ht="13.2" x14ac:dyDescent="0.25">
      <c r="A126" s="205"/>
      <c r="B126" s="207"/>
      <c r="C126" s="315">
        <v>44097</v>
      </c>
      <c r="D126" s="317">
        <v>8.0499999999999999E-3</v>
      </c>
      <c r="E126" s="317">
        <v>8.5500000000000003E-3</v>
      </c>
      <c r="F126" s="208"/>
      <c r="G126" s="210"/>
      <c r="H126" s="205"/>
    </row>
    <row r="127" spans="1:8" ht="13.2" x14ac:dyDescent="0.25">
      <c r="A127" s="205"/>
      <c r="B127" s="207"/>
      <c r="C127" s="315">
        <v>44098</v>
      </c>
      <c r="D127" s="317">
        <v>8.0000000000000002E-3</v>
      </c>
      <c r="E127" s="317">
        <v>8.5500000000000003E-3</v>
      </c>
      <c r="F127" s="208"/>
      <c r="G127" s="210"/>
      <c r="H127" s="205"/>
    </row>
    <row r="128" spans="1:8" ht="13.2" x14ac:dyDescent="0.25">
      <c r="A128" s="205"/>
      <c r="B128" s="207"/>
      <c r="C128" s="315">
        <v>44099</v>
      </c>
      <c r="D128" s="317">
        <v>7.9500000000000005E-3</v>
      </c>
      <c r="E128" s="317">
        <v>8.5000000000000006E-3</v>
      </c>
      <c r="F128" s="208"/>
      <c r="G128" s="210"/>
      <c r="H128" s="205"/>
    </row>
    <row r="129" spans="1:8" ht="13.2" x14ac:dyDescent="0.25">
      <c r="A129" s="205"/>
      <c r="B129" s="207"/>
      <c r="C129" s="315">
        <v>44102</v>
      </c>
      <c r="D129" s="317">
        <v>7.7000000000000002E-3</v>
      </c>
      <c r="E129" s="317">
        <v>8.2500000000000004E-3</v>
      </c>
      <c r="F129" s="208"/>
      <c r="G129" s="210"/>
      <c r="H129" s="205"/>
    </row>
    <row r="130" spans="1:8" ht="13.2" x14ac:dyDescent="0.25">
      <c r="A130" s="205"/>
      <c r="B130" s="207"/>
      <c r="C130" s="315">
        <v>44103</v>
      </c>
      <c r="D130" s="317">
        <v>7.7499999999999999E-3</v>
      </c>
      <c r="E130" s="317">
        <v>8.3000000000000001E-3</v>
      </c>
      <c r="F130" s="208"/>
      <c r="G130" s="210"/>
      <c r="H130" s="205"/>
    </row>
    <row r="131" spans="1:8" ht="13.2" x14ac:dyDescent="0.25">
      <c r="A131" s="205"/>
      <c r="B131" s="207"/>
      <c r="C131" s="315">
        <v>44104</v>
      </c>
      <c r="D131" s="317">
        <v>7.8500000000000011E-3</v>
      </c>
      <c r="E131" s="317">
        <v>8.3499999999999998E-3</v>
      </c>
      <c r="F131" s="208"/>
      <c r="G131" s="210"/>
      <c r="H131" s="205"/>
    </row>
    <row r="132" spans="1:8" ht="13.2" x14ac:dyDescent="0.25">
      <c r="A132" s="205"/>
      <c r="B132" s="207"/>
      <c r="C132" s="315">
        <v>44105</v>
      </c>
      <c r="D132" s="317">
        <v>8.4499999999999992E-3</v>
      </c>
      <c r="E132" s="317">
        <v>8.9499999999999996E-3</v>
      </c>
      <c r="F132" s="208"/>
      <c r="G132" s="210"/>
      <c r="H132" s="205"/>
    </row>
    <row r="133" spans="1:8" ht="13.2" x14ac:dyDescent="0.25">
      <c r="A133" s="205"/>
      <c r="B133" s="207"/>
      <c r="C133" s="315">
        <v>44106</v>
      </c>
      <c r="D133" s="317">
        <v>7.8000000000000005E-3</v>
      </c>
      <c r="E133" s="317">
        <v>8.3000000000000001E-3</v>
      </c>
      <c r="F133" s="208"/>
      <c r="G133" s="210"/>
      <c r="H133" s="205"/>
    </row>
    <row r="134" spans="1:8" ht="13.2" x14ac:dyDescent="0.25">
      <c r="A134" s="205"/>
      <c r="B134" s="207"/>
      <c r="C134" s="315">
        <v>44110</v>
      </c>
      <c r="D134" s="317">
        <v>8.3000000000000001E-3</v>
      </c>
      <c r="E134" s="317">
        <v>8.8000000000000005E-3</v>
      </c>
      <c r="F134" s="208"/>
      <c r="G134" s="210"/>
      <c r="H134" s="205"/>
    </row>
    <row r="135" spans="1:8" ht="13.2" x14ac:dyDescent="0.25">
      <c r="A135" s="205"/>
      <c r="B135" s="207"/>
      <c r="C135" s="318">
        <v>44111</v>
      </c>
      <c r="D135" s="317">
        <v>7.9000000000000008E-3</v>
      </c>
      <c r="E135" s="317">
        <v>8.3999999999999995E-3</v>
      </c>
      <c r="F135" s="211"/>
      <c r="G135" s="210"/>
      <c r="H135" s="205"/>
    </row>
    <row r="136" spans="1:8" ht="13.2" x14ac:dyDescent="0.25">
      <c r="A136" s="205"/>
      <c r="B136" s="207"/>
      <c r="C136" s="318">
        <v>44112</v>
      </c>
      <c r="D136" s="317">
        <v>8.1499999999999993E-3</v>
      </c>
      <c r="E136" s="317">
        <v>8.6499999999999997E-3</v>
      </c>
      <c r="F136" s="211"/>
      <c r="G136" s="210"/>
      <c r="H136" s="205"/>
    </row>
    <row r="137" spans="1:8" ht="13.2" x14ac:dyDescent="0.25">
      <c r="A137" s="205"/>
      <c r="B137" s="207"/>
      <c r="C137" s="318">
        <v>44113</v>
      </c>
      <c r="D137" s="317">
        <v>8.0000000000000002E-3</v>
      </c>
      <c r="E137" s="317">
        <v>8.5000000000000006E-3</v>
      </c>
      <c r="F137" s="211"/>
      <c r="G137" s="210"/>
      <c r="H137" s="205"/>
    </row>
    <row r="138" spans="1:8" ht="13.2" x14ac:dyDescent="0.25">
      <c r="A138" s="205"/>
      <c r="B138" s="207"/>
      <c r="C138" s="318">
        <v>44116</v>
      </c>
      <c r="D138" s="317">
        <v>7.9500000000000005E-3</v>
      </c>
      <c r="E138" s="317">
        <v>8.4499999999999992E-3</v>
      </c>
      <c r="F138" s="211"/>
      <c r="G138" s="210"/>
      <c r="H138" s="205"/>
    </row>
    <row r="139" spans="1:8" ht="13.2" x14ac:dyDescent="0.25">
      <c r="A139" s="205"/>
      <c r="B139" s="207"/>
      <c r="C139" s="318">
        <v>44117</v>
      </c>
      <c r="D139" s="317">
        <v>7.9500000000000005E-3</v>
      </c>
      <c r="E139" s="317">
        <v>8.4499999999999992E-3</v>
      </c>
      <c r="F139" s="211"/>
      <c r="G139" s="210"/>
      <c r="H139" s="205"/>
    </row>
    <row r="140" spans="1:8" ht="13.2" x14ac:dyDescent="0.25">
      <c r="A140" s="205"/>
      <c r="B140" s="207"/>
      <c r="C140" s="318">
        <v>44118</v>
      </c>
      <c r="D140" s="317">
        <v>7.8500000000000011E-3</v>
      </c>
      <c r="E140" s="317">
        <v>8.3499999999999998E-3</v>
      </c>
      <c r="F140" s="211"/>
      <c r="G140" s="210"/>
      <c r="H140" s="205"/>
    </row>
    <row r="141" spans="1:8" ht="13.2" x14ac:dyDescent="0.25">
      <c r="A141" s="205"/>
      <c r="B141" s="207"/>
      <c r="C141" s="318">
        <v>44119</v>
      </c>
      <c r="D141" s="317">
        <v>7.0999999999999995E-3</v>
      </c>
      <c r="E141" s="317">
        <v>7.6E-3</v>
      </c>
      <c r="F141" s="211"/>
      <c r="G141" s="210"/>
      <c r="H141" s="205"/>
    </row>
    <row r="142" spans="1:8" ht="13.2" x14ac:dyDescent="0.25">
      <c r="A142" s="205"/>
      <c r="B142" s="207"/>
      <c r="C142" s="318">
        <v>44120</v>
      </c>
      <c r="D142" s="317">
        <v>6.7000000000000002E-3</v>
      </c>
      <c r="E142" s="317">
        <v>7.1999999999999998E-3</v>
      </c>
      <c r="F142" s="211"/>
      <c r="G142" s="210"/>
      <c r="H142" s="205"/>
    </row>
    <row r="143" spans="1:8" ht="13.2" x14ac:dyDescent="0.25">
      <c r="A143" s="205"/>
      <c r="B143" s="207"/>
      <c r="C143" s="318">
        <v>44123</v>
      </c>
      <c r="D143" s="317">
        <v>6.9999999999999993E-3</v>
      </c>
      <c r="E143" s="317">
        <v>7.4999999999999997E-3</v>
      </c>
      <c r="F143" s="211"/>
      <c r="G143" s="210"/>
      <c r="H143" s="205"/>
    </row>
    <row r="144" spans="1:8" ht="13.2" x14ac:dyDescent="0.25">
      <c r="A144" s="205"/>
      <c r="B144" s="207"/>
      <c r="C144" s="318">
        <v>44124</v>
      </c>
      <c r="D144" s="317">
        <v>7.0499999999999998E-3</v>
      </c>
      <c r="E144" s="317">
        <v>7.5500000000000003E-3</v>
      </c>
      <c r="F144" s="211"/>
      <c r="G144" s="210"/>
      <c r="H144" s="205"/>
    </row>
    <row r="145" spans="1:8" ht="13.2" x14ac:dyDescent="0.25">
      <c r="A145" s="205"/>
      <c r="B145" s="207"/>
      <c r="C145" s="318">
        <v>44125</v>
      </c>
      <c r="D145" s="317">
        <v>7.4999999999999997E-3</v>
      </c>
      <c r="E145" s="317">
        <v>8.0000000000000002E-3</v>
      </c>
      <c r="F145" s="211"/>
      <c r="G145" s="210"/>
      <c r="H145" s="205"/>
    </row>
    <row r="146" spans="1:8" ht="13.2" x14ac:dyDescent="0.25">
      <c r="A146" s="205"/>
      <c r="B146" s="207"/>
      <c r="C146" s="318">
        <v>44126</v>
      </c>
      <c r="D146" s="317">
        <v>7.6E-3</v>
      </c>
      <c r="E146" s="317">
        <v>8.1000000000000013E-3</v>
      </c>
      <c r="F146" s="211"/>
      <c r="G146" s="210"/>
      <c r="H146" s="205"/>
    </row>
    <row r="147" spans="1:8" ht="13.2" x14ac:dyDescent="0.25">
      <c r="A147" s="205"/>
      <c r="B147" s="207"/>
      <c r="C147" s="318">
        <v>44127</v>
      </c>
      <c r="D147" s="317">
        <v>8.0499999999999999E-3</v>
      </c>
      <c r="E147" s="317">
        <v>8.5500000000000003E-3</v>
      </c>
      <c r="F147" s="211"/>
      <c r="G147" s="210"/>
      <c r="H147" s="205"/>
    </row>
    <row r="148" spans="1:8" ht="13.2" x14ac:dyDescent="0.25">
      <c r="A148" s="205"/>
      <c r="B148" s="207"/>
      <c r="C148" s="318">
        <v>44130</v>
      </c>
      <c r="D148" s="317">
        <v>7.5500000000000003E-3</v>
      </c>
      <c r="E148" s="317">
        <v>8.0499999999999999E-3</v>
      </c>
      <c r="F148" s="211"/>
      <c r="G148" s="210"/>
      <c r="H148" s="205"/>
    </row>
    <row r="149" spans="1:8" ht="13.2" x14ac:dyDescent="0.25">
      <c r="A149" s="205"/>
      <c r="B149" s="207"/>
      <c r="C149" s="318">
        <v>44131</v>
      </c>
      <c r="D149" s="317">
        <v>7.4999999999999997E-3</v>
      </c>
      <c r="E149" s="317">
        <v>8.0000000000000002E-3</v>
      </c>
      <c r="F149" s="211"/>
      <c r="G149" s="210"/>
      <c r="H149" s="205"/>
    </row>
    <row r="150" spans="1:8" ht="13.2" x14ac:dyDescent="0.25">
      <c r="A150" s="205"/>
      <c r="B150" s="207"/>
      <c r="C150" s="318">
        <v>44132</v>
      </c>
      <c r="D150" s="317">
        <v>7.3000000000000001E-3</v>
      </c>
      <c r="E150" s="317">
        <v>7.8000000000000005E-3</v>
      </c>
      <c r="F150" s="211"/>
      <c r="G150" s="210"/>
      <c r="H150" s="205"/>
    </row>
    <row r="151" spans="1:8" ht="13.2" x14ac:dyDescent="0.25">
      <c r="A151" s="205"/>
      <c r="B151" s="207"/>
      <c r="C151" s="318">
        <v>44133</v>
      </c>
      <c r="D151" s="317">
        <v>7.6E-3</v>
      </c>
      <c r="E151" s="317">
        <v>8.1000000000000013E-3</v>
      </c>
      <c r="F151" s="211"/>
      <c r="G151" s="210"/>
      <c r="H151" s="205"/>
    </row>
    <row r="152" spans="1:8" ht="13.2" x14ac:dyDescent="0.25">
      <c r="A152" s="205"/>
      <c r="B152" s="207"/>
      <c r="C152" s="318">
        <v>44134</v>
      </c>
      <c r="D152" s="317">
        <v>7.7499999999999999E-3</v>
      </c>
      <c r="E152" s="317">
        <v>8.2500000000000004E-3</v>
      </c>
      <c r="F152" s="211"/>
      <c r="G152" s="210"/>
      <c r="H152" s="205"/>
    </row>
    <row r="153" spans="1:8" ht="13.2" x14ac:dyDescent="0.25">
      <c r="A153" s="205"/>
      <c r="B153" s="207"/>
      <c r="C153" s="318">
        <v>44137</v>
      </c>
      <c r="D153" s="317">
        <v>7.7000000000000002E-3</v>
      </c>
      <c r="E153" s="317">
        <v>8.199999999999999E-3</v>
      </c>
      <c r="F153" s="211"/>
      <c r="G153" s="210"/>
      <c r="H153" s="205"/>
    </row>
    <row r="154" spans="1:8" ht="13.2" x14ac:dyDescent="0.25">
      <c r="A154" s="205"/>
      <c r="B154" s="207"/>
      <c r="C154" s="318">
        <v>44138</v>
      </c>
      <c r="D154" s="317">
        <v>7.1999999999999998E-3</v>
      </c>
      <c r="E154" s="317">
        <v>7.7000000000000002E-3</v>
      </c>
      <c r="F154" s="211"/>
      <c r="G154" s="210"/>
      <c r="H154" s="205"/>
    </row>
    <row r="155" spans="1:8" ht="13.2" x14ac:dyDescent="0.25">
      <c r="A155" s="205"/>
      <c r="B155" s="207"/>
      <c r="C155" s="318">
        <v>44139</v>
      </c>
      <c r="D155" s="317">
        <v>7.4000000000000003E-3</v>
      </c>
      <c r="E155" s="317">
        <v>7.9000000000000008E-3</v>
      </c>
      <c r="F155" s="211"/>
      <c r="G155" s="210"/>
      <c r="H155" s="205"/>
    </row>
    <row r="156" spans="1:8" ht="13.2" x14ac:dyDescent="0.25">
      <c r="A156" s="205"/>
      <c r="B156" s="207"/>
      <c r="C156" s="318">
        <v>44140</v>
      </c>
      <c r="D156" s="317">
        <v>6.8999999999999999E-3</v>
      </c>
      <c r="E156" s="317">
        <v>7.4000000000000003E-3</v>
      </c>
      <c r="F156" s="211"/>
      <c r="G156" s="210"/>
      <c r="H156" s="205"/>
    </row>
    <row r="157" spans="1:8" ht="13.2" x14ac:dyDescent="0.25">
      <c r="A157" s="205"/>
      <c r="B157" s="207"/>
      <c r="C157" s="318">
        <v>44141</v>
      </c>
      <c r="D157" s="317">
        <v>6.9999999999999993E-3</v>
      </c>
      <c r="E157" s="317">
        <v>7.5500000000000003E-3</v>
      </c>
      <c r="F157" s="211"/>
      <c r="G157" s="210"/>
      <c r="H157" s="205"/>
    </row>
    <row r="158" spans="1:8" ht="13.2" x14ac:dyDescent="0.25">
      <c r="A158" s="205"/>
      <c r="B158" s="207"/>
      <c r="C158" s="318">
        <v>44144</v>
      </c>
      <c r="D158" s="317">
        <v>7.1500000000000001E-3</v>
      </c>
      <c r="E158" s="317">
        <v>7.7000000000000002E-3</v>
      </c>
      <c r="F158" s="211"/>
      <c r="G158" s="210"/>
      <c r="H158" s="205"/>
    </row>
    <row r="159" spans="1:8" ht="13.2" x14ac:dyDescent="0.25">
      <c r="A159" s="205"/>
      <c r="B159" s="207"/>
      <c r="C159" s="318">
        <v>44145</v>
      </c>
      <c r="D159" s="317">
        <v>8.6E-3</v>
      </c>
      <c r="E159" s="317">
        <v>9.1999999999999998E-3</v>
      </c>
      <c r="F159" s="211"/>
      <c r="G159" s="210"/>
      <c r="H159" s="205"/>
    </row>
    <row r="160" spans="1:8" ht="13.2" x14ac:dyDescent="0.25">
      <c r="A160" s="205"/>
      <c r="B160" s="207"/>
      <c r="C160" s="211"/>
      <c r="D160" s="212"/>
      <c r="E160" s="212"/>
      <c r="F160" s="210"/>
      <c r="G160" s="210"/>
      <c r="H160" s="205"/>
    </row>
    <row r="161" spans="1:8" ht="13.2" x14ac:dyDescent="0.25">
      <c r="A161" s="205"/>
      <c r="B161" s="207"/>
      <c r="C161" s="211"/>
      <c r="D161" s="212"/>
      <c r="E161" s="212"/>
      <c r="F161" s="210"/>
      <c r="G161" s="210"/>
      <c r="H161" s="205"/>
    </row>
    <row r="162" spans="1:8" ht="13.2" x14ac:dyDescent="0.25">
      <c r="A162" s="205"/>
      <c r="B162" s="207"/>
      <c r="C162" s="213"/>
      <c r="D162" s="214"/>
      <c r="E162" s="214"/>
      <c r="F162" s="210"/>
      <c r="G162" s="210"/>
      <c r="H162" s="205"/>
    </row>
    <row r="163" spans="1:8" ht="13.2" x14ac:dyDescent="0.25">
      <c r="A163" s="205"/>
      <c r="B163" s="207"/>
      <c r="C163" s="213"/>
      <c r="D163" s="215"/>
      <c r="E163" s="215"/>
      <c r="F163" s="210"/>
      <c r="G163" s="210"/>
      <c r="H163" s="205"/>
    </row>
    <row r="164" spans="1:8" ht="13.2" x14ac:dyDescent="0.25">
      <c r="A164" s="205"/>
      <c r="B164" s="207"/>
      <c r="C164" s="213"/>
      <c r="D164" s="215"/>
      <c r="E164" s="215"/>
      <c r="F164" s="210"/>
      <c r="G164" s="210"/>
      <c r="H164" s="205"/>
    </row>
    <row r="165" spans="1:8" ht="13.2" x14ac:dyDescent="0.25">
      <c r="A165" s="205"/>
      <c r="B165" s="207"/>
      <c r="C165" s="213"/>
      <c r="D165" s="215"/>
      <c r="E165" s="215"/>
      <c r="F165" s="210"/>
      <c r="G165" s="210"/>
      <c r="H165" s="205"/>
    </row>
    <row r="166" spans="1:8" ht="13.2" x14ac:dyDescent="0.25">
      <c r="A166" s="205"/>
      <c r="B166" s="207"/>
      <c r="C166" s="213"/>
      <c r="D166" s="215"/>
      <c r="E166" s="215"/>
      <c r="F166" s="210"/>
      <c r="G166" s="210"/>
      <c r="H166" s="205"/>
    </row>
    <row r="167" spans="1:8" ht="13.2" x14ac:dyDescent="0.25">
      <c r="A167" s="205"/>
      <c r="B167" s="207"/>
      <c r="C167" s="213"/>
      <c r="D167" s="215"/>
      <c r="E167" s="215"/>
      <c r="F167" s="210"/>
      <c r="G167" s="210"/>
      <c r="H167" s="205"/>
    </row>
    <row r="168" spans="1:8" ht="13.2" x14ac:dyDescent="0.25">
      <c r="A168" s="205"/>
      <c r="B168" s="207"/>
      <c r="C168" s="213"/>
      <c r="D168" s="215"/>
      <c r="E168" s="215"/>
      <c r="F168" s="210"/>
      <c r="G168" s="210"/>
      <c r="H168" s="205"/>
    </row>
    <row r="169" spans="1:8" ht="13.2" x14ac:dyDescent="0.25">
      <c r="A169" s="205"/>
      <c r="B169" s="207"/>
      <c r="C169" s="213"/>
      <c r="D169" s="215"/>
      <c r="E169" s="215"/>
      <c r="F169" s="210"/>
      <c r="G169" s="210"/>
      <c r="H169" s="205"/>
    </row>
    <row r="170" spans="1:8" ht="13.2" x14ac:dyDescent="0.25">
      <c r="A170" s="205"/>
      <c r="B170" s="207"/>
      <c r="C170" s="213"/>
      <c r="D170" s="215"/>
      <c r="E170" s="215"/>
      <c r="F170" s="210"/>
      <c r="G170" s="210"/>
      <c r="H170" s="205"/>
    </row>
    <row r="171" spans="1:8" ht="13.2" x14ac:dyDescent="0.25">
      <c r="A171" s="205"/>
      <c r="B171" s="207"/>
      <c r="C171" s="213"/>
      <c r="D171" s="215"/>
      <c r="E171" s="215"/>
      <c r="F171" s="210"/>
      <c r="G171" s="210"/>
      <c r="H171" s="205"/>
    </row>
    <row r="172" spans="1:8" ht="13.2" x14ac:dyDescent="0.25">
      <c r="A172" s="205"/>
      <c r="B172" s="207"/>
      <c r="C172" s="213"/>
      <c r="D172" s="215"/>
      <c r="E172" s="215"/>
      <c r="F172" s="210"/>
      <c r="G172" s="210"/>
      <c r="H172" s="205"/>
    </row>
    <row r="173" spans="1:8" ht="13.2" x14ac:dyDescent="0.25">
      <c r="A173" s="205"/>
      <c r="B173" s="207"/>
      <c r="C173" s="213"/>
      <c r="D173" s="215"/>
      <c r="E173" s="215"/>
      <c r="F173" s="210"/>
      <c r="G173" s="210"/>
      <c r="H173" s="205"/>
    </row>
    <row r="174" spans="1:8" ht="13.2" x14ac:dyDescent="0.25">
      <c r="A174" s="205"/>
      <c r="B174" s="207"/>
      <c r="C174" s="213"/>
      <c r="D174" s="215"/>
      <c r="E174" s="215"/>
      <c r="F174" s="210"/>
      <c r="G174" s="210"/>
      <c r="H174" s="205"/>
    </row>
    <row r="175" spans="1:8" ht="13.2" x14ac:dyDescent="0.25">
      <c r="A175" s="205"/>
      <c r="B175" s="207"/>
      <c r="C175" s="213"/>
      <c r="D175" s="215"/>
      <c r="E175" s="215"/>
      <c r="F175" s="210"/>
      <c r="G175" s="210"/>
      <c r="H175" s="205"/>
    </row>
    <row r="176" spans="1:8" ht="13.2" x14ac:dyDescent="0.25">
      <c r="A176" s="205"/>
      <c r="B176" s="207"/>
      <c r="C176" s="213"/>
      <c r="D176" s="215"/>
      <c r="E176" s="215"/>
      <c r="F176" s="210"/>
      <c r="G176" s="210"/>
      <c r="H176" s="205"/>
    </row>
    <row r="177" spans="1:8" ht="13.2" x14ac:dyDescent="0.25">
      <c r="A177" s="205"/>
      <c r="B177" s="207"/>
      <c r="C177" s="213"/>
      <c r="D177" s="215"/>
      <c r="E177" s="215"/>
      <c r="F177" s="210"/>
      <c r="G177" s="210"/>
      <c r="H177" s="205"/>
    </row>
    <row r="178" spans="1:8" ht="13.2" x14ac:dyDescent="0.25">
      <c r="A178" s="205"/>
      <c r="B178" s="207"/>
      <c r="C178" s="213"/>
      <c r="D178" s="215"/>
      <c r="E178" s="215"/>
      <c r="F178" s="210"/>
      <c r="G178" s="210"/>
      <c r="H178" s="205"/>
    </row>
    <row r="179" spans="1:8" ht="13.2" x14ac:dyDescent="0.25">
      <c r="A179" s="205"/>
      <c r="B179" s="207"/>
      <c r="C179" s="213"/>
      <c r="D179" s="215"/>
      <c r="E179" s="215"/>
      <c r="F179" s="210"/>
      <c r="G179" s="210"/>
      <c r="H179" s="205"/>
    </row>
    <row r="180" spans="1:8" ht="13.2" x14ac:dyDescent="0.25">
      <c r="A180" s="205"/>
      <c r="B180" s="207"/>
      <c r="C180" s="213"/>
      <c r="D180" s="215"/>
      <c r="E180" s="215"/>
      <c r="F180" s="210"/>
      <c r="G180" s="210"/>
      <c r="H180" s="205"/>
    </row>
    <row r="181" spans="1:8" ht="13.2" x14ac:dyDescent="0.25">
      <c r="A181" s="205"/>
      <c r="B181" s="207"/>
      <c r="C181" s="213"/>
      <c r="D181" s="215"/>
      <c r="E181" s="215"/>
      <c r="F181" s="210"/>
      <c r="G181" s="210"/>
      <c r="H181" s="205"/>
    </row>
    <row r="182" spans="1:8" ht="13.2" x14ac:dyDescent="0.25">
      <c r="A182" s="205"/>
      <c r="B182" s="207"/>
      <c r="C182" s="213"/>
      <c r="D182" s="215"/>
      <c r="E182" s="215"/>
      <c r="F182" s="210"/>
      <c r="G182" s="210"/>
      <c r="H182" s="205"/>
    </row>
    <row r="183" spans="1:8" ht="13.2" x14ac:dyDescent="0.25">
      <c r="A183" s="205"/>
      <c r="B183" s="207"/>
      <c r="C183" s="213"/>
      <c r="D183" s="215"/>
      <c r="E183" s="215"/>
      <c r="F183" s="210"/>
      <c r="G183" s="210"/>
      <c r="H183" s="205"/>
    </row>
    <row r="184" spans="1:8" ht="13.2" x14ac:dyDescent="0.25">
      <c r="A184" s="205"/>
      <c r="B184" s="207"/>
      <c r="C184" s="213"/>
      <c r="D184" s="215"/>
      <c r="E184" s="215"/>
      <c r="F184" s="210"/>
      <c r="G184" s="210"/>
      <c r="H184" s="205"/>
    </row>
    <row r="185" spans="1:8" ht="13.2" x14ac:dyDescent="0.25">
      <c r="A185" s="205"/>
      <c r="B185" s="207"/>
      <c r="C185" s="213"/>
      <c r="D185" s="215"/>
      <c r="E185" s="215"/>
      <c r="F185" s="210"/>
      <c r="G185" s="210"/>
      <c r="H185" s="205"/>
    </row>
    <row r="186" spans="1:8" ht="13.2" x14ac:dyDescent="0.25">
      <c r="A186" s="205"/>
      <c r="B186" s="207"/>
      <c r="C186" s="213"/>
      <c r="D186" s="215"/>
      <c r="E186" s="215"/>
      <c r="F186" s="210"/>
      <c r="G186" s="210"/>
      <c r="H186" s="205"/>
    </row>
    <row r="187" spans="1:8" ht="13.2" x14ac:dyDescent="0.25">
      <c r="A187" s="205"/>
      <c r="B187" s="207"/>
      <c r="C187" s="213"/>
      <c r="D187" s="215"/>
      <c r="E187" s="215"/>
      <c r="F187" s="210"/>
      <c r="G187" s="210"/>
      <c r="H187" s="205"/>
    </row>
    <row r="188" spans="1:8" ht="13.2" x14ac:dyDescent="0.25">
      <c r="A188" s="205"/>
      <c r="B188" s="207"/>
      <c r="C188" s="213"/>
      <c r="D188" s="215"/>
      <c r="E188" s="215"/>
      <c r="F188" s="210"/>
      <c r="G188" s="210"/>
      <c r="H188" s="205"/>
    </row>
    <row r="189" spans="1:8" ht="13.2" x14ac:dyDescent="0.25">
      <c r="A189" s="205"/>
      <c r="B189" s="207"/>
      <c r="C189" s="213"/>
      <c r="D189" s="215"/>
      <c r="E189" s="215"/>
      <c r="F189" s="210"/>
      <c r="G189" s="210"/>
      <c r="H189" s="205"/>
    </row>
    <row r="190" spans="1:8" ht="13.2" x14ac:dyDescent="0.25">
      <c r="A190" s="205"/>
      <c r="B190" s="207"/>
      <c r="C190" s="213"/>
      <c r="D190" s="215"/>
      <c r="E190" s="215"/>
      <c r="F190" s="210"/>
      <c r="G190" s="210"/>
      <c r="H190" s="205"/>
    </row>
    <row r="191" spans="1:8" ht="13.2" x14ac:dyDescent="0.25">
      <c r="A191" s="205"/>
      <c r="B191" s="207"/>
      <c r="C191" s="213"/>
      <c r="D191" s="215"/>
      <c r="E191" s="215"/>
      <c r="F191" s="210"/>
      <c r="G191" s="210"/>
      <c r="H191" s="205"/>
    </row>
    <row r="192" spans="1:8" ht="13.2" x14ac:dyDescent="0.25">
      <c r="A192" s="205"/>
      <c r="B192" s="207"/>
      <c r="C192" s="213"/>
      <c r="D192" s="215"/>
      <c r="E192" s="215"/>
      <c r="F192" s="210"/>
      <c r="G192" s="210"/>
      <c r="H192" s="205"/>
    </row>
    <row r="193" spans="1:8" ht="13.2" x14ac:dyDescent="0.25">
      <c r="A193" s="205"/>
      <c r="B193" s="207"/>
      <c r="C193" s="213"/>
      <c r="D193" s="215"/>
      <c r="E193" s="215"/>
      <c r="F193" s="210"/>
      <c r="G193" s="210"/>
      <c r="H193" s="205"/>
    </row>
    <row r="194" spans="1:8" ht="13.2" x14ac:dyDescent="0.25">
      <c r="A194" s="205"/>
      <c r="B194" s="207"/>
      <c r="C194" s="213"/>
      <c r="D194" s="215"/>
      <c r="E194" s="215"/>
      <c r="F194" s="210"/>
      <c r="G194" s="210"/>
      <c r="H194" s="205"/>
    </row>
    <row r="195" spans="1:8" ht="13.2" x14ac:dyDescent="0.25">
      <c r="A195" s="205"/>
      <c r="B195" s="207"/>
      <c r="C195" s="213"/>
      <c r="D195" s="215"/>
      <c r="E195" s="215"/>
      <c r="F195" s="210"/>
      <c r="G195" s="210"/>
      <c r="H195" s="205"/>
    </row>
    <row r="196" spans="1:8" ht="13.2" x14ac:dyDescent="0.25">
      <c r="A196" s="205"/>
      <c r="B196" s="207"/>
      <c r="C196" s="213"/>
      <c r="D196" s="215"/>
      <c r="E196" s="215"/>
      <c r="F196" s="210"/>
      <c r="G196" s="210"/>
      <c r="H196" s="205"/>
    </row>
    <row r="197" spans="1:8" ht="13.2" x14ac:dyDescent="0.25">
      <c r="A197" s="205"/>
      <c r="B197" s="207"/>
      <c r="C197" s="213"/>
      <c r="D197" s="215"/>
      <c r="E197" s="215"/>
      <c r="F197" s="210"/>
      <c r="G197" s="210"/>
      <c r="H197" s="205"/>
    </row>
    <row r="198" spans="1:8" ht="13.2" x14ac:dyDescent="0.25">
      <c r="A198" s="205"/>
      <c r="B198" s="207"/>
      <c r="C198" s="213"/>
      <c r="D198" s="215"/>
      <c r="E198" s="215"/>
      <c r="F198" s="210"/>
      <c r="G198" s="210"/>
      <c r="H198" s="205"/>
    </row>
    <row r="199" spans="1:8" ht="13.2" x14ac:dyDescent="0.25">
      <c r="A199" s="205"/>
      <c r="B199" s="207"/>
      <c r="C199" s="213"/>
      <c r="D199" s="215"/>
      <c r="E199" s="215"/>
      <c r="F199" s="210"/>
      <c r="G199" s="210"/>
      <c r="H199" s="205"/>
    </row>
    <row r="200" spans="1:8" ht="13.2" x14ac:dyDescent="0.25">
      <c r="A200" s="205"/>
      <c r="B200" s="207"/>
      <c r="C200" s="213"/>
      <c r="D200" s="215"/>
      <c r="E200" s="215"/>
      <c r="F200" s="210"/>
      <c r="G200" s="210"/>
      <c r="H200" s="205"/>
    </row>
    <row r="201" spans="1:8" ht="13.2" x14ac:dyDescent="0.25">
      <c r="A201" s="205"/>
      <c r="B201" s="207"/>
      <c r="C201" s="213"/>
      <c r="D201" s="215"/>
      <c r="E201" s="215"/>
      <c r="F201" s="210"/>
      <c r="G201" s="210"/>
      <c r="H201" s="205"/>
    </row>
    <row r="202" spans="1:8" ht="13.2" x14ac:dyDescent="0.25">
      <c r="A202" s="205"/>
      <c r="B202" s="207"/>
      <c r="C202" s="213"/>
      <c r="D202" s="215"/>
      <c r="E202" s="215"/>
      <c r="F202" s="210"/>
      <c r="G202" s="210"/>
      <c r="H202" s="205"/>
    </row>
    <row r="203" spans="1:8" ht="13.2" x14ac:dyDescent="0.25">
      <c r="A203" s="205"/>
      <c r="B203" s="207"/>
      <c r="C203" s="213"/>
      <c r="D203" s="215"/>
      <c r="E203" s="215"/>
      <c r="F203" s="210"/>
      <c r="G203" s="210"/>
      <c r="H203" s="205"/>
    </row>
    <row r="204" spans="1:8" ht="13.2" x14ac:dyDescent="0.25">
      <c r="A204" s="205"/>
      <c r="B204" s="207"/>
      <c r="C204" s="213"/>
      <c r="D204" s="215"/>
      <c r="E204" s="215"/>
      <c r="F204" s="210"/>
      <c r="G204" s="210"/>
      <c r="H204" s="205"/>
    </row>
    <row r="205" spans="1:8" ht="13.2" x14ac:dyDescent="0.25">
      <c r="A205" s="205"/>
      <c r="B205" s="207"/>
      <c r="C205" s="213"/>
      <c r="D205" s="215"/>
      <c r="E205" s="215"/>
      <c r="F205" s="210"/>
      <c r="G205" s="210"/>
      <c r="H205" s="205"/>
    </row>
    <row r="206" spans="1:8" ht="13.2" x14ac:dyDescent="0.25">
      <c r="A206" s="205"/>
      <c r="B206" s="207"/>
      <c r="C206" s="213"/>
      <c r="D206" s="215"/>
      <c r="E206" s="215"/>
      <c r="F206" s="210"/>
      <c r="G206" s="210"/>
      <c r="H206" s="205"/>
    </row>
    <row r="207" spans="1:8" ht="13.2" x14ac:dyDescent="0.25">
      <c r="A207" s="205"/>
      <c r="B207" s="207"/>
      <c r="C207" s="213"/>
      <c r="D207" s="215"/>
      <c r="E207" s="215"/>
      <c r="F207" s="210"/>
      <c r="G207" s="210"/>
      <c r="H207" s="205"/>
    </row>
    <row r="208" spans="1:8" ht="13.2" x14ac:dyDescent="0.25">
      <c r="A208" s="205"/>
      <c r="B208" s="207"/>
      <c r="C208" s="213"/>
      <c r="D208" s="215"/>
      <c r="E208" s="215"/>
      <c r="F208" s="210"/>
      <c r="G208" s="210"/>
      <c r="H208" s="205"/>
    </row>
    <row r="209" spans="1:8" ht="13.2" x14ac:dyDescent="0.25">
      <c r="A209" s="205"/>
      <c r="B209" s="207"/>
      <c r="C209" s="213"/>
      <c r="D209" s="215"/>
      <c r="E209" s="215"/>
      <c r="F209" s="210"/>
      <c r="G209" s="210"/>
      <c r="H209" s="205"/>
    </row>
    <row r="210" spans="1:8" ht="13.2" x14ac:dyDescent="0.25">
      <c r="A210" s="205"/>
      <c r="B210" s="207"/>
      <c r="C210" s="213"/>
      <c r="D210" s="215"/>
      <c r="E210" s="215"/>
      <c r="F210" s="210"/>
      <c r="G210" s="210"/>
      <c r="H210" s="205"/>
    </row>
    <row r="211" spans="1:8" ht="13.2" x14ac:dyDescent="0.25">
      <c r="A211" s="205"/>
      <c r="B211" s="207"/>
      <c r="C211" s="213"/>
      <c r="D211" s="215"/>
      <c r="E211" s="215"/>
      <c r="F211" s="210"/>
      <c r="G211" s="210"/>
      <c r="H211" s="205"/>
    </row>
    <row r="212" spans="1:8" ht="13.2" x14ac:dyDescent="0.25">
      <c r="A212" s="205"/>
      <c r="B212" s="207"/>
      <c r="C212" s="213"/>
      <c r="D212" s="215"/>
      <c r="E212" s="215"/>
      <c r="F212" s="210"/>
      <c r="G212" s="210"/>
      <c r="H212" s="205"/>
    </row>
    <row r="213" spans="1:8" ht="13.2" x14ac:dyDescent="0.25">
      <c r="A213" s="205"/>
      <c r="B213" s="207"/>
      <c r="C213" s="213"/>
      <c r="D213" s="215"/>
      <c r="E213" s="215"/>
      <c r="F213" s="210"/>
      <c r="G213" s="210"/>
      <c r="H213" s="205"/>
    </row>
    <row r="214" spans="1:8" ht="13.2" x14ac:dyDescent="0.25">
      <c r="A214" s="205"/>
      <c r="B214" s="207"/>
      <c r="C214" s="213"/>
      <c r="D214" s="215"/>
      <c r="E214" s="215"/>
      <c r="F214" s="210"/>
      <c r="G214" s="210"/>
      <c r="H214" s="205"/>
    </row>
    <row r="215" spans="1:8" ht="13.2" x14ac:dyDescent="0.25">
      <c r="A215" s="205"/>
      <c r="B215" s="207"/>
      <c r="C215" s="213"/>
      <c r="D215" s="215"/>
      <c r="E215" s="215"/>
      <c r="F215" s="210"/>
      <c r="G215" s="210"/>
      <c r="H215" s="205"/>
    </row>
    <row r="216" spans="1:8" ht="13.2" x14ac:dyDescent="0.25">
      <c r="A216" s="205"/>
      <c r="B216" s="207"/>
      <c r="C216" s="213"/>
      <c r="D216" s="215"/>
      <c r="E216" s="215"/>
      <c r="F216" s="210"/>
      <c r="G216" s="210"/>
      <c r="H216" s="205"/>
    </row>
    <row r="217" spans="1:8" ht="13.2" x14ac:dyDescent="0.25">
      <c r="A217" s="205"/>
      <c r="B217" s="207"/>
      <c r="C217" s="213"/>
      <c r="D217" s="215"/>
      <c r="E217" s="215"/>
      <c r="F217" s="210"/>
      <c r="G217" s="210"/>
      <c r="H217" s="205"/>
    </row>
    <row r="218" spans="1:8" ht="13.2" x14ac:dyDescent="0.25">
      <c r="A218" s="205"/>
      <c r="B218" s="207"/>
      <c r="C218" s="213"/>
      <c r="D218" s="215"/>
      <c r="E218" s="215"/>
      <c r="F218" s="210"/>
      <c r="G218" s="210"/>
      <c r="H218" s="205"/>
    </row>
    <row r="219" spans="1:8" ht="13.2" x14ac:dyDescent="0.25">
      <c r="A219" s="205"/>
      <c r="B219" s="207"/>
      <c r="C219" s="213"/>
      <c r="D219" s="215"/>
      <c r="E219" s="215"/>
      <c r="F219" s="210"/>
      <c r="G219" s="210"/>
      <c r="H219" s="205"/>
    </row>
    <row r="220" spans="1:8" ht="13.2" x14ac:dyDescent="0.25">
      <c r="A220" s="205"/>
      <c r="B220" s="207"/>
      <c r="C220" s="213"/>
      <c r="D220" s="215"/>
      <c r="E220" s="215"/>
      <c r="F220" s="210"/>
      <c r="G220" s="210"/>
      <c r="H220" s="205"/>
    </row>
    <row r="221" spans="1:8" ht="13.2" x14ac:dyDescent="0.25">
      <c r="A221" s="205"/>
      <c r="B221" s="207"/>
      <c r="C221" s="213"/>
      <c r="D221" s="215"/>
      <c r="E221" s="215"/>
      <c r="F221" s="210"/>
      <c r="G221" s="210"/>
      <c r="H221" s="205"/>
    </row>
    <row r="222" spans="1:8" ht="13.2" x14ac:dyDescent="0.25">
      <c r="A222" s="205"/>
      <c r="B222" s="207"/>
      <c r="C222" s="213"/>
      <c r="D222" s="215"/>
      <c r="E222" s="215"/>
      <c r="F222" s="210"/>
      <c r="G222" s="210"/>
      <c r="H222" s="205"/>
    </row>
    <row r="223" spans="1:8" ht="13.2" x14ac:dyDescent="0.25">
      <c r="A223" s="205"/>
      <c r="B223" s="207"/>
      <c r="C223" s="213"/>
      <c r="D223" s="215"/>
      <c r="E223" s="215"/>
      <c r="F223" s="210"/>
      <c r="G223" s="210"/>
      <c r="H223" s="205"/>
    </row>
    <row r="224" spans="1:8" ht="13.2" x14ac:dyDescent="0.25">
      <c r="A224" s="205"/>
      <c r="B224" s="207"/>
      <c r="C224" s="213"/>
      <c r="D224" s="215"/>
      <c r="E224" s="215"/>
      <c r="F224" s="210"/>
      <c r="G224" s="210"/>
      <c r="H224" s="205"/>
    </row>
    <row r="225" spans="1:8" ht="13.2" x14ac:dyDescent="0.25">
      <c r="A225" s="205"/>
      <c r="B225" s="207"/>
      <c r="C225" s="213"/>
      <c r="D225" s="215"/>
      <c r="E225" s="215"/>
      <c r="F225" s="210"/>
      <c r="G225" s="210"/>
      <c r="H225" s="205"/>
    </row>
    <row r="226" spans="1:8" ht="13.2" x14ac:dyDescent="0.25">
      <c r="A226" s="205"/>
      <c r="B226" s="207"/>
      <c r="C226" s="213"/>
      <c r="D226" s="215"/>
      <c r="E226" s="215"/>
      <c r="F226" s="210"/>
      <c r="G226" s="210"/>
      <c r="H226" s="205"/>
    </row>
    <row r="227" spans="1:8" ht="13.2" x14ac:dyDescent="0.25">
      <c r="A227" s="205"/>
      <c r="B227" s="207"/>
      <c r="C227" s="213"/>
      <c r="D227" s="215"/>
      <c r="E227" s="215"/>
      <c r="F227" s="210"/>
      <c r="G227" s="210"/>
      <c r="H227" s="205"/>
    </row>
    <row r="228" spans="1:8" ht="13.2" x14ac:dyDescent="0.25">
      <c r="A228" s="205"/>
      <c r="B228" s="207"/>
      <c r="C228" s="213"/>
      <c r="D228" s="215"/>
      <c r="E228" s="215"/>
      <c r="F228" s="210"/>
      <c r="G228" s="210"/>
      <c r="H228" s="205"/>
    </row>
    <row r="229" spans="1:8" ht="13.2" x14ac:dyDescent="0.25">
      <c r="A229" s="205"/>
      <c r="B229" s="207"/>
      <c r="C229" s="213"/>
      <c r="D229" s="215"/>
      <c r="E229" s="215"/>
      <c r="F229" s="210"/>
      <c r="G229" s="210"/>
      <c r="H229" s="205"/>
    </row>
    <row r="230" spans="1:8" ht="13.2" x14ac:dyDescent="0.25">
      <c r="A230" s="205"/>
      <c r="B230" s="207"/>
      <c r="C230" s="213"/>
      <c r="D230" s="215"/>
      <c r="E230" s="215"/>
      <c r="F230" s="210"/>
      <c r="G230" s="210"/>
      <c r="H230" s="205"/>
    </row>
    <row r="231" spans="1:8" ht="13.2" x14ac:dyDescent="0.25">
      <c r="A231" s="205"/>
      <c r="B231" s="207"/>
      <c r="C231" s="213"/>
      <c r="D231" s="215"/>
      <c r="E231" s="215"/>
      <c r="F231" s="210"/>
      <c r="G231" s="210"/>
      <c r="H231" s="205"/>
    </row>
    <row r="232" spans="1:8" ht="13.2" x14ac:dyDescent="0.25">
      <c r="A232" s="205"/>
      <c r="B232" s="207"/>
      <c r="C232" s="213"/>
      <c r="D232" s="215"/>
      <c r="E232" s="215"/>
      <c r="F232" s="210"/>
      <c r="G232" s="210"/>
      <c r="H232" s="205"/>
    </row>
    <row r="233" spans="1:8" ht="13.2" x14ac:dyDescent="0.25">
      <c r="A233" s="205"/>
      <c r="B233" s="207"/>
      <c r="C233" s="213"/>
      <c r="D233" s="215"/>
      <c r="E233" s="215"/>
      <c r="F233" s="210"/>
      <c r="G233" s="210"/>
      <c r="H233" s="205"/>
    </row>
    <row r="234" spans="1:8" ht="13.2" x14ac:dyDescent="0.25">
      <c r="A234" s="205"/>
      <c r="B234" s="207"/>
      <c r="C234" s="213"/>
      <c r="D234" s="215"/>
      <c r="E234" s="215"/>
      <c r="F234" s="210"/>
      <c r="G234" s="210"/>
      <c r="H234" s="205"/>
    </row>
    <row r="235" spans="1:8" ht="13.2" x14ac:dyDescent="0.25">
      <c r="A235" s="205"/>
      <c r="B235" s="207"/>
      <c r="C235" s="213"/>
      <c r="D235" s="215"/>
      <c r="E235" s="215"/>
      <c r="F235" s="210"/>
      <c r="G235" s="210"/>
      <c r="H235" s="205"/>
    </row>
    <row r="236" spans="1:8" ht="13.2" x14ac:dyDescent="0.25">
      <c r="A236" s="205"/>
      <c r="B236" s="207"/>
      <c r="C236" s="213"/>
      <c r="D236" s="215"/>
      <c r="E236" s="215"/>
      <c r="F236" s="210"/>
      <c r="G236" s="210"/>
      <c r="H236" s="205"/>
    </row>
    <row r="237" spans="1:8" ht="13.2" x14ac:dyDescent="0.25">
      <c r="A237" s="205"/>
      <c r="B237" s="207"/>
      <c r="C237" s="213"/>
      <c r="D237" s="215"/>
      <c r="E237" s="215"/>
      <c r="F237" s="210"/>
      <c r="G237" s="210"/>
      <c r="H237" s="205"/>
    </row>
    <row r="238" spans="1:8" ht="13.2" x14ac:dyDescent="0.25">
      <c r="A238" s="205"/>
      <c r="B238" s="207"/>
      <c r="C238" s="213"/>
      <c r="D238" s="215"/>
      <c r="E238" s="215"/>
      <c r="F238" s="210"/>
      <c r="G238" s="210"/>
      <c r="H238" s="205"/>
    </row>
    <row r="239" spans="1:8" ht="13.2" x14ac:dyDescent="0.25">
      <c r="A239" s="205"/>
      <c r="B239" s="207"/>
      <c r="C239" s="213"/>
      <c r="D239" s="215"/>
      <c r="E239" s="215"/>
      <c r="F239" s="210"/>
      <c r="G239" s="210"/>
      <c r="H239" s="205"/>
    </row>
    <row r="240" spans="1:8" ht="13.2" x14ac:dyDescent="0.25">
      <c r="A240" s="205"/>
      <c r="B240" s="207"/>
      <c r="C240" s="213"/>
      <c r="D240" s="215"/>
      <c r="E240" s="215"/>
      <c r="F240" s="210"/>
      <c r="G240" s="210"/>
      <c r="H240" s="205"/>
    </row>
    <row r="241" spans="1:8" ht="13.2" x14ac:dyDescent="0.25">
      <c r="A241" s="205"/>
      <c r="B241" s="207"/>
      <c r="C241" s="213"/>
      <c r="D241" s="215"/>
      <c r="E241" s="215"/>
      <c r="F241" s="210"/>
      <c r="G241" s="210"/>
      <c r="H241" s="205"/>
    </row>
    <row r="242" spans="1:8" ht="13.2" x14ac:dyDescent="0.25">
      <c r="A242" s="205"/>
      <c r="B242" s="207"/>
      <c r="C242" s="213"/>
      <c r="D242" s="215"/>
      <c r="E242" s="215"/>
      <c r="F242" s="210"/>
      <c r="G242" s="210"/>
      <c r="H242" s="205"/>
    </row>
    <row r="243" spans="1:8" ht="13.2" x14ac:dyDescent="0.25">
      <c r="A243" s="205"/>
      <c r="B243" s="207"/>
      <c r="C243" s="213"/>
      <c r="D243" s="215"/>
      <c r="E243" s="215"/>
      <c r="F243" s="210"/>
      <c r="G243" s="210"/>
      <c r="H243" s="205"/>
    </row>
    <row r="244" spans="1:8" ht="13.2" x14ac:dyDescent="0.25">
      <c r="A244" s="205"/>
      <c r="B244" s="207"/>
      <c r="C244" s="213"/>
      <c r="D244" s="215"/>
      <c r="E244" s="215"/>
      <c r="F244" s="210"/>
      <c r="G244" s="210"/>
      <c r="H244" s="205"/>
    </row>
    <row r="245" spans="1:8" ht="13.2" x14ac:dyDescent="0.25">
      <c r="A245" s="205"/>
      <c r="B245" s="207"/>
      <c r="C245" s="213"/>
      <c r="D245" s="215"/>
      <c r="E245" s="215"/>
      <c r="F245" s="210"/>
      <c r="G245" s="210"/>
      <c r="H245" s="205"/>
    </row>
    <row r="246" spans="1:8" ht="13.2" x14ac:dyDescent="0.25">
      <c r="A246" s="205"/>
      <c r="B246" s="207"/>
      <c r="C246" s="213"/>
      <c r="D246" s="215"/>
      <c r="E246" s="215"/>
      <c r="F246" s="210"/>
      <c r="G246" s="210"/>
      <c r="H246" s="205"/>
    </row>
    <row r="247" spans="1:8" ht="13.2" x14ac:dyDescent="0.25">
      <c r="A247" s="205"/>
      <c r="B247" s="207"/>
      <c r="C247" s="213"/>
      <c r="D247" s="215"/>
      <c r="E247" s="215"/>
      <c r="F247" s="210"/>
      <c r="G247" s="210"/>
      <c r="H247" s="205"/>
    </row>
    <row r="248" spans="1:8" ht="13.2" x14ac:dyDescent="0.25">
      <c r="A248" s="205"/>
      <c r="B248" s="207"/>
      <c r="C248" s="213"/>
      <c r="D248" s="215"/>
      <c r="E248" s="215"/>
      <c r="F248" s="210"/>
      <c r="G248" s="210"/>
      <c r="H248" s="205"/>
    </row>
    <row r="249" spans="1:8" ht="13.2" x14ac:dyDescent="0.25">
      <c r="A249" s="205"/>
      <c r="B249" s="207"/>
      <c r="C249" s="213"/>
      <c r="D249" s="215"/>
      <c r="E249" s="215"/>
      <c r="F249" s="210"/>
      <c r="G249" s="210"/>
      <c r="H249" s="205"/>
    </row>
    <row r="250" spans="1:8" ht="13.2" x14ac:dyDescent="0.25">
      <c r="A250" s="205"/>
      <c r="B250" s="207"/>
      <c r="C250" s="213"/>
      <c r="D250" s="215"/>
      <c r="E250" s="215"/>
      <c r="F250" s="210"/>
      <c r="G250" s="210"/>
      <c r="H250" s="205"/>
    </row>
    <row r="251" spans="1:8" ht="13.2" x14ac:dyDescent="0.25">
      <c r="A251" s="205"/>
      <c r="B251" s="207"/>
      <c r="C251" s="213"/>
      <c r="D251" s="215"/>
      <c r="E251" s="215"/>
      <c r="F251" s="210"/>
      <c r="G251" s="210"/>
      <c r="H251" s="205"/>
    </row>
    <row r="252" spans="1:8" ht="13.2" x14ac:dyDescent="0.25">
      <c r="A252" s="205"/>
      <c r="B252" s="207"/>
      <c r="C252" s="213"/>
      <c r="D252" s="215"/>
      <c r="E252" s="215"/>
      <c r="F252" s="210"/>
      <c r="G252" s="210"/>
      <c r="H252" s="205"/>
    </row>
    <row r="253" spans="1:8" ht="13.2" x14ac:dyDescent="0.25">
      <c r="A253" s="205"/>
      <c r="B253" s="207"/>
      <c r="C253" s="213"/>
      <c r="D253" s="215"/>
      <c r="E253" s="215"/>
      <c r="F253" s="210"/>
      <c r="G253" s="210"/>
      <c r="H253" s="205"/>
    </row>
    <row r="254" spans="1:8" ht="13.2" x14ac:dyDescent="0.25">
      <c r="A254" s="205"/>
      <c r="B254" s="207"/>
      <c r="C254" s="213"/>
      <c r="D254" s="215"/>
      <c r="E254" s="215"/>
      <c r="F254" s="210"/>
      <c r="G254" s="210"/>
      <c r="H254" s="205"/>
    </row>
    <row r="255" spans="1:8" ht="13.2" x14ac:dyDescent="0.25">
      <c r="A255" s="205"/>
      <c r="B255" s="207"/>
      <c r="C255" s="213"/>
      <c r="D255" s="215"/>
      <c r="E255" s="215"/>
      <c r="F255" s="210"/>
      <c r="G255" s="210"/>
      <c r="H255" s="205"/>
    </row>
    <row r="256" spans="1:8" ht="13.2" x14ac:dyDescent="0.25">
      <c r="A256" s="205"/>
      <c r="B256" s="207"/>
      <c r="C256" s="213"/>
      <c r="D256" s="215"/>
      <c r="E256" s="215"/>
      <c r="F256" s="210"/>
      <c r="G256" s="210"/>
      <c r="H256" s="205"/>
    </row>
    <row r="257" spans="1:8" ht="13.2" x14ac:dyDescent="0.25">
      <c r="A257" s="205"/>
      <c r="B257" s="207"/>
      <c r="C257" s="213"/>
      <c r="D257" s="215"/>
      <c r="E257" s="215"/>
      <c r="F257" s="210"/>
      <c r="G257" s="210"/>
      <c r="H257" s="205"/>
    </row>
    <row r="258" spans="1:8" ht="13.2" x14ac:dyDescent="0.25">
      <c r="A258" s="205"/>
      <c r="B258" s="207"/>
      <c r="C258" s="213"/>
      <c r="D258" s="215"/>
      <c r="E258" s="215"/>
      <c r="F258" s="210"/>
      <c r="G258" s="210"/>
      <c r="H258" s="205"/>
    </row>
    <row r="259" spans="1:8" ht="13.2" x14ac:dyDescent="0.25">
      <c r="A259" s="205"/>
      <c r="B259" s="207"/>
      <c r="C259" s="213"/>
      <c r="D259" s="215"/>
      <c r="E259" s="215"/>
      <c r="F259" s="210"/>
      <c r="G259" s="210"/>
      <c r="H259" s="205"/>
    </row>
    <row r="260" spans="1:8" ht="13.2" x14ac:dyDescent="0.25">
      <c r="A260" s="205"/>
      <c r="B260" s="207"/>
      <c r="C260" s="213"/>
      <c r="D260" s="215"/>
      <c r="E260" s="215"/>
      <c r="F260" s="210"/>
      <c r="G260" s="210"/>
      <c r="H260" s="205"/>
    </row>
    <row r="261" spans="1:8" ht="13.2" x14ac:dyDescent="0.25">
      <c r="A261" s="205"/>
      <c r="B261" s="207"/>
      <c r="C261" s="213"/>
      <c r="D261" s="215"/>
      <c r="E261" s="215"/>
      <c r="F261" s="210"/>
      <c r="G261" s="210"/>
      <c r="H261" s="205"/>
    </row>
    <row r="262" spans="1:8" ht="13.2" x14ac:dyDescent="0.25">
      <c r="A262" s="205"/>
      <c r="B262" s="207"/>
      <c r="C262" s="213"/>
      <c r="D262" s="215"/>
      <c r="E262" s="215"/>
      <c r="F262" s="210"/>
      <c r="G262" s="210"/>
      <c r="H262" s="205"/>
    </row>
    <row r="263" spans="1:8" ht="13.2" x14ac:dyDescent="0.25">
      <c r="A263" s="205"/>
      <c r="B263" s="207"/>
      <c r="C263" s="213"/>
      <c r="D263" s="215"/>
      <c r="E263" s="215"/>
      <c r="F263" s="210"/>
      <c r="G263" s="210"/>
      <c r="H263" s="205"/>
    </row>
    <row r="264" spans="1:8" ht="13.2" x14ac:dyDescent="0.25">
      <c r="A264" s="205"/>
      <c r="B264" s="207"/>
      <c r="C264" s="213"/>
      <c r="D264" s="215"/>
      <c r="E264" s="215"/>
      <c r="F264" s="210"/>
      <c r="G264" s="210"/>
      <c r="H264" s="205"/>
    </row>
    <row r="265" spans="1:8" ht="13.2" x14ac:dyDescent="0.25">
      <c r="A265" s="205"/>
      <c r="B265" s="207"/>
      <c r="C265" s="213"/>
      <c r="D265" s="215"/>
      <c r="E265" s="215"/>
      <c r="F265" s="210"/>
      <c r="G265" s="210"/>
      <c r="H265" s="205"/>
    </row>
    <row r="266" spans="1:8" ht="13.2" x14ac:dyDescent="0.25">
      <c r="A266" s="205"/>
      <c r="B266" s="207"/>
      <c r="C266" s="213"/>
      <c r="D266" s="215"/>
      <c r="E266" s="215"/>
      <c r="F266" s="210"/>
      <c r="G266" s="210"/>
      <c r="H266" s="205"/>
    </row>
    <row r="267" spans="1:8" ht="13.2" x14ac:dyDescent="0.25">
      <c r="A267" s="205"/>
      <c r="B267" s="207"/>
      <c r="C267" s="213"/>
      <c r="D267" s="215"/>
      <c r="E267" s="215"/>
      <c r="F267" s="210"/>
      <c r="G267" s="210"/>
      <c r="H267" s="205"/>
    </row>
    <row r="268" spans="1:8" ht="13.2" x14ac:dyDescent="0.25">
      <c r="A268" s="205"/>
      <c r="B268" s="207"/>
      <c r="C268" s="213"/>
      <c r="D268" s="215"/>
      <c r="E268" s="215"/>
      <c r="F268" s="210"/>
      <c r="G268" s="210"/>
      <c r="H268" s="205"/>
    </row>
    <row r="269" spans="1:8" ht="13.2" x14ac:dyDescent="0.25">
      <c r="A269" s="205"/>
      <c r="B269" s="207"/>
      <c r="C269" s="213"/>
      <c r="D269" s="215"/>
      <c r="E269" s="215"/>
      <c r="F269" s="210"/>
      <c r="G269" s="210"/>
      <c r="H269" s="205"/>
    </row>
    <row r="270" spans="1:8" ht="13.2" x14ac:dyDescent="0.25">
      <c r="A270" s="205"/>
      <c r="B270" s="207"/>
      <c r="C270" s="213"/>
      <c r="D270" s="215"/>
      <c r="E270" s="215"/>
      <c r="F270" s="210"/>
      <c r="G270" s="210"/>
      <c r="H270" s="205"/>
    </row>
    <row r="271" spans="1:8" ht="13.2" x14ac:dyDescent="0.25">
      <c r="A271" s="205"/>
      <c r="B271" s="207"/>
      <c r="C271" s="213"/>
      <c r="D271" s="215"/>
      <c r="E271" s="215"/>
      <c r="F271" s="210"/>
      <c r="G271" s="210"/>
      <c r="H271" s="205"/>
    </row>
    <row r="272" spans="1:8" ht="13.2" x14ac:dyDescent="0.25">
      <c r="A272" s="205"/>
      <c r="B272" s="207"/>
      <c r="C272" s="213"/>
      <c r="D272" s="215"/>
      <c r="E272" s="215"/>
      <c r="F272" s="210"/>
      <c r="G272" s="210"/>
      <c r="H272" s="205"/>
    </row>
    <row r="273" spans="1:8" ht="13.2" x14ac:dyDescent="0.25">
      <c r="A273" s="205"/>
      <c r="B273" s="207"/>
      <c r="C273" s="213"/>
      <c r="D273" s="215"/>
      <c r="E273" s="215"/>
      <c r="F273" s="210"/>
      <c r="G273" s="210"/>
      <c r="H273" s="205"/>
    </row>
    <row r="274" spans="1:8" ht="13.2" x14ac:dyDescent="0.25">
      <c r="A274" s="205"/>
      <c r="B274" s="207"/>
      <c r="C274" s="213"/>
      <c r="D274" s="215"/>
      <c r="E274" s="215"/>
      <c r="F274" s="210"/>
      <c r="G274" s="210"/>
      <c r="H274" s="205"/>
    </row>
    <row r="275" spans="1:8" ht="13.2" x14ac:dyDescent="0.25">
      <c r="A275" s="205"/>
      <c r="B275" s="207"/>
      <c r="C275" s="213"/>
      <c r="D275" s="215"/>
      <c r="E275" s="215"/>
      <c r="F275" s="210"/>
      <c r="G275" s="210"/>
      <c r="H275" s="205"/>
    </row>
    <row r="276" spans="1:8" ht="13.2" x14ac:dyDescent="0.25">
      <c r="A276" s="205"/>
      <c r="B276" s="207"/>
      <c r="C276" s="213"/>
      <c r="D276" s="215"/>
      <c r="E276" s="215"/>
      <c r="F276" s="210"/>
      <c r="G276" s="210"/>
      <c r="H276" s="205"/>
    </row>
    <row r="277" spans="1:8" ht="13.2" x14ac:dyDescent="0.25">
      <c r="A277" s="205"/>
      <c r="B277" s="207"/>
      <c r="C277" s="213"/>
      <c r="D277" s="215"/>
      <c r="E277" s="215"/>
      <c r="F277" s="210"/>
      <c r="G277" s="210"/>
      <c r="H277" s="205"/>
    </row>
    <row r="278" spans="1:8" ht="13.2" x14ac:dyDescent="0.25">
      <c r="A278" s="205"/>
      <c r="B278" s="207"/>
      <c r="C278" s="213"/>
      <c r="D278" s="215"/>
      <c r="E278" s="215"/>
      <c r="F278" s="210"/>
      <c r="G278" s="210"/>
      <c r="H278" s="205"/>
    </row>
    <row r="279" spans="1:8" ht="13.2" x14ac:dyDescent="0.25">
      <c r="A279" s="205"/>
      <c r="B279" s="207"/>
      <c r="C279" s="213"/>
      <c r="D279" s="215"/>
      <c r="E279" s="215"/>
      <c r="F279" s="210"/>
      <c r="G279" s="210"/>
      <c r="H279" s="205"/>
    </row>
    <row r="280" spans="1:8" ht="13.2" x14ac:dyDescent="0.25">
      <c r="A280" s="205"/>
      <c r="B280" s="207"/>
      <c r="C280" s="213"/>
      <c r="D280" s="215"/>
      <c r="E280" s="215"/>
      <c r="F280" s="210"/>
      <c r="G280" s="210"/>
      <c r="H280" s="205"/>
    </row>
    <row r="281" spans="1:8" ht="13.2" x14ac:dyDescent="0.25">
      <c r="A281" s="205"/>
      <c r="B281" s="207"/>
      <c r="C281" s="213"/>
      <c r="D281" s="215"/>
      <c r="E281" s="215"/>
      <c r="F281" s="210"/>
      <c r="G281" s="210"/>
      <c r="H281" s="205"/>
    </row>
    <row r="282" spans="1:8" ht="13.2" x14ac:dyDescent="0.25">
      <c r="A282" s="205"/>
      <c r="B282" s="207"/>
      <c r="C282" s="213"/>
      <c r="D282" s="215"/>
      <c r="E282" s="215"/>
      <c r="F282" s="210"/>
      <c r="G282" s="210"/>
      <c r="H282" s="205"/>
    </row>
    <row r="283" spans="1:8" ht="13.2" x14ac:dyDescent="0.25">
      <c r="A283" s="205"/>
      <c r="B283" s="207"/>
      <c r="C283" s="213"/>
      <c r="D283" s="215"/>
      <c r="E283" s="215"/>
      <c r="F283" s="210"/>
      <c r="G283" s="210"/>
      <c r="H283" s="205"/>
    </row>
    <row r="284" spans="1:8" ht="13.2" x14ac:dyDescent="0.25">
      <c r="A284" s="205"/>
      <c r="B284" s="207"/>
      <c r="C284" s="213"/>
      <c r="D284" s="215"/>
      <c r="E284" s="215"/>
      <c r="F284" s="210"/>
      <c r="G284" s="210"/>
      <c r="H284" s="205"/>
    </row>
    <row r="285" spans="1:8" ht="13.2" x14ac:dyDescent="0.25">
      <c r="A285" s="205"/>
      <c r="B285" s="207"/>
      <c r="C285" s="213"/>
      <c r="D285" s="215"/>
      <c r="E285" s="215"/>
      <c r="F285" s="210"/>
      <c r="G285" s="210"/>
      <c r="H285" s="205"/>
    </row>
    <row r="286" spans="1:8" ht="13.2" x14ac:dyDescent="0.25">
      <c r="A286" s="205"/>
      <c r="B286" s="207"/>
      <c r="C286" s="213"/>
      <c r="D286" s="215"/>
      <c r="E286" s="215"/>
      <c r="F286" s="210"/>
      <c r="G286" s="210"/>
      <c r="H286" s="205"/>
    </row>
    <row r="287" spans="1:8" ht="13.2" x14ac:dyDescent="0.25">
      <c r="A287" s="205"/>
      <c r="B287" s="207"/>
      <c r="C287" s="213"/>
      <c r="D287" s="215"/>
      <c r="E287" s="215"/>
      <c r="F287" s="210"/>
      <c r="G287" s="210"/>
      <c r="H287" s="205"/>
    </row>
    <row r="288" spans="1:8" ht="13.2" x14ac:dyDescent="0.25">
      <c r="A288" s="205"/>
      <c r="B288" s="207"/>
      <c r="C288" s="213"/>
      <c r="D288" s="215"/>
      <c r="E288" s="215"/>
      <c r="F288" s="210"/>
      <c r="G288" s="210"/>
      <c r="H288" s="205"/>
    </row>
    <row r="289" spans="1:8" ht="13.2" x14ac:dyDescent="0.25">
      <c r="A289" s="205"/>
      <c r="B289" s="207"/>
      <c r="C289" s="213"/>
      <c r="D289" s="215"/>
      <c r="E289" s="215"/>
      <c r="F289" s="210"/>
      <c r="G289" s="210"/>
      <c r="H289" s="205"/>
    </row>
    <row r="290" spans="1:8" ht="13.2" x14ac:dyDescent="0.25">
      <c r="A290" s="205"/>
      <c r="B290" s="207"/>
      <c r="C290" s="213"/>
      <c r="D290" s="215"/>
      <c r="E290" s="215"/>
      <c r="F290" s="210"/>
      <c r="G290" s="210"/>
      <c r="H290" s="205"/>
    </row>
    <row r="291" spans="1:8" ht="13.2" x14ac:dyDescent="0.25">
      <c r="A291" s="205"/>
      <c r="B291" s="207"/>
      <c r="C291" s="213"/>
      <c r="D291" s="215"/>
      <c r="E291" s="215"/>
      <c r="F291" s="210"/>
      <c r="G291" s="210"/>
      <c r="H291" s="205"/>
    </row>
    <row r="292" spans="1:8" ht="13.2" x14ac:dyDescent="0.25">
      <c r="A292" s="205"/>
      <c r="B292" s="207"/>
      <c r="C292" s="213"/>
      <c r="D292" s="215"/>
      <c r="E292" s="215"/>
      <c r="F292" s="210"/>
      <c r="G292" s="210"/>
      <c r="H292" s="205"/>
    </row>
    <row r="293" spans="1:8" ht="13.2" x14ac:dyDescent="0.25">
      <c r="A293" s="205"/>
      <c r="B293" s="207"/>
      <c r="C293" s="213"/>
      <c r="D293" s="215"/>
      <c r="E293" s="215"/>
      <c r="F293" s="210"/>
      <c r="G293" s="210"/>
      <c r="H293" s="205"/>
    </row>
    <row r="294" spans="1:8" ht="13.2" x14ac:dyDescent="0.25">
      <c r="A294" s="205"/>
      <c r="B294" s="207"/>
      <c r="C294" s="213"/>
      <c r="D294" s="215"/>
      <c r="E294" s="215"/>
      <c r="F294" s="210"/>
      <c r="G294" s="210"/>
      <c r="H294" s="205"/>
    </row>
    <row r="295" spans="1:8" ht="13.2" x14ac:dyDescent="0.25">
      <c r="A295" s="205"/>
      <c r="B295" s="207"/>
      <c r="C295" s="213"/>
      <c r="D295" s="215"/>
      <c r="E295" s="215"/>
      <c r="F295" s="210"/>
      <c r="G295" s="210"/>
      <c r="H295" s="205"/>
    </row>
    <row r="296" spans="1:8" ht="13.2" x14ac:dyDescent="0.25">
      <c r="A296" s="205"/>
      <c r="B296" s="207"/>
      <c r="C296" s="213"/>
      <c r="D296" s="215"/>
      <c r="E296" s="215"/>
      <c r="F296" s="210"/>
      <c r="G296" s="210"/>
      <c r="H296" s="205"/>
    </row>
    <row r="297" spans="1:8" ht="13.2" x14ac:dyDescent="0.25">
      <c r="A297" s="205"/>
      <c r="B297" s="207"/>
      <c r="C297" s="213"/>
      <c r="D297" s="215"/>
      <c r="E297" s="215"/>
      <c r="F297" s="210"/>
      <c r="G297" s="210"/>
      <c r="H297" s="205"/>
    </row>
    <row r="298" spans="1:8" ht="13.2" x14ac:dyDescent="0.25">
      <c r="A298" s="205"/>
      <c r="B298" s="207"/>
      <c r="C298" s="213"/>
      <c r="D298" s="215"/>
      <c r="E298" s="215"/>
      <c r="F298" s="210"/>
      <c r="G298" s="210"/>
      <c r="H298" s="205"/>
    </row>
    <row r="299" spans="1:8" ht="13.2" x14ac:dyDescent="0.25">
      <c r="A299" s="205"/>
      <c r="B299" s="207"/>
      <c r="C299" s="213"/>
      <c r="D299" s="215"/>
      <c r="E299" s="215"/>
      <c r="F299" s="210"/>
      <c r="G299" s="210"/>
      <c r="H299" s="205"/>
    </row>
    <row r="300" spans="1:8" ht="13.2" x14ac:dyDescent="0.25">
      <c r="A300" s="205"/>
      <c r="B300" s="207"/>
      <c r="C300" s="213"/>
      <c r="D300" s="215"/>
      <c r="E300" s="215"/>
      <c r="F300" s="210"/>
      <c r="G300" s="210"/>
      <c r="H300" s="205"/>
    </row>
    <row r="301" spans="1:8" ht="13.2" x14ac:dyDescent="0.25">
      <c r="A301" s="205"/>
      <c r="B301" s="207"/>
      <c r="C301" s="213"/>
      <c r="D301" s="215"/>
      <c r="E301" s="215"/>
      <c r="F301" s="210"/>
      <c r="G301" s="210"/>
      <c r="H301" s="205"/>
    </row>
    <row r="302" spans="1:8" ht="13.2" x14ac:dyDescent="0.25">
      <c r="A302" s="205"/>
      <c r="B302" s="207"/>
      <c r="C302" s="213"/>
      <c r="D302" s="215"/>
      <c r="E302" s="215"/>
      <c r="F302" s="210"/>
      <c r="G302" s="210"/>
      <c r="H302" s="205"/>
    </row>
    <row r="303" spans="1:8" ht="13.2" x14ac:dyDescent="0.25">
      <c r="A303" s="205"/>
      <c r="B303" s="207"/>
      <c r="C303" s="213"/>
      <c r="D303" s="215"/>
      <c r="E303" s="215"/>
      <c r="F303" s="210"/>
      <c r="G303" s="210"/>
      <c r="H303" s="205"/>
    </row>
    <row r="304" spans="1:8" ht="13.2" x14ac:dyDescent="0.25">
      <c r="A304" s="205"/>
      <c r="B304" s="207"/>
      <c r="C304" s="213"/>
      <c r="D304" s="215"/>
      <c r="E304" s="215"/>
      <c r="F304" s="210"/>
      <c r="G304" s="210"/>
      <c r="H304" s="205"/>
    </row>
    <row r="305" spans="1:8" ht="13.2" x14ac:dyDescent="0.25">
      <c r="A305" s="205"/>
      <c r="B305" s="207"/>
      <c r="C305" s="213"/>
      <c r="D305" s="215"/>
      <c r="E305" s="215"/>
      <c r="F305" s="210"/>
      <c r="G305" s="210"/>
      <c r="H305" s="205"/>
    </row>
    <row r="306" spans="1:8" ht="13.2" x14ac:dyDescent="0.25">
      <c r="A306" s="205"/>
      <c r="B306" s="207"/>
      <c r="C306" s="213"/>
      <c r="D306" s="215"/>
      <c r="E306" s="215"/>
      <c r="F306" s="210"/>
      <c r="G306" s="210"/>
      <c r="H306" s="205"/>
    </row>
    <row r="307" spans="1:8" ht="13.2" x14ac:dyDescent="0.25">
      <c r="A307" s="205"/>
      <c r="B307" s="205"/>
      <c r="C307" s="213"/>
      <c r="D307" s="215"/>
      <c r="E307" s="215"/>
      <c r="F307" s="210"/>
      <c r="G307" s="210"/>
      <c r="H307" s="205"/>
    </row>
    <row r="308" spans="1:8" ht="13.2" x14ac:dyDescent="0.25">
      <c r="A308" s="205"/>
      <c r="B308" s="205"/>
      <c r="C308" s="213"/>
      <c r="D308" s="215"/>
      <c r="E308" s="215"/>
      <c r="F308" s="210"/>
      <c r="G308" s="210"/>
      <c r="H308" s="205"/>
    </row>
    <row r="309" spans="1:8" ht="13.2" x14ac:dyDescent="0.25">
      <c r="A309" s="205"/>
      <c r="B309" s="205"/>
      <c r="C309" s="213"/>
      <c r="D309" s="215"/>
      <c r="E309" s="215"/>
      <c r="F309" s="210"/>
      <c r="G309" s="210"/>
      <c r="H309" s="205"/>
    </row>
    <row r="310" spans="1:8" ht="13.2" x14ac:dyDescent="0.25">
      <c r="A310" s="205"/>
      <c r="B310" s="205"/>
      <c r="C310" s="213"/>
      <c r="D310" s="215"/>
      <c r="E310" s="215"/>
      <c r="F310" s="210"/>
      <c r="G310" s="210"/>
      <c r="H310" s="205"/>
    </row>
    <row r="311" spans="1:8" ht="13.2" x14ac:dyDescent="0.25">
      <c r="A311" s="205"/>
      <c r="B311" s="205"/>
      <c r="C311" s="213"/>
      <c r="D311" s="215"/>
      <c r="E311" s="215"/>
      <c r="F311" s="210"/>
      <c r="G311" s="210"/>
      <c r="H311" s="205"/>
    </row>
    <row r="312" spans="1:8" ht="13.2" x14ac:dyDescent="0.25">
      <c r="A312" s="205"/>
      <c r="B312" s="205"/>
      <c r="C312" s="213"/>
      <c r="D312" s="215"/>
      <c r="E312" s="215"/>
      <c r="F312" s="210"/>
      <c r="G312" s="210"/>
      <c r="H312" s="205"/>
    </row>
    <row r="313" spans="1:8" ht="13.2" x14ac:dyDescent="0.25">
      <c r="A313" s="205"/>
      <c r="B313" s="205"/>
      <c r="C313" s="213"/>
      <c r="D313" s="215"/>
      <c r="E313" s="215"/>
      <c r="F313" s="210"/>
      <c r="G313" s="210"/>
      <c r="H313" s="205"/>
    </row>
    <row r="314" spans="1:8" ht="13.2" x14ac:dyDescent="0.25">
      <c r="A314" s="205"/>
      <c r="B314" s="205"/>
      <c r="C314" s="213"/>
      <c r="D314" s="215"/>
      <c r="E314" s="215"/>
      <c r="F314" s="210"/>
      <c r="G314" s="210"/>
      <c r="H314" s="205"/>
    </row>
    <row r="315" spans="1:8" ht="13.2" x14ac:dyDescent="0.25">
      <c r="A315" s="205"/>
      <c r="B315" s="205"/>
      <c r="C315" s="213"/>
      <c r="D315" s="215"/>
      <c r="E315" s="215"/>
      <c r="F315" s="210"/>
      <c r="G315" s="210"/>
      <c r="H315" s="205"/>
    </row>
    <row r="316" spans="1:8" ht="13.2" x14ac:dyDescent="0.25">
      <c r="A316" s="205"/>
      <c r="B316" s="205"/>
      <c r="C316" s="213"/>
      <c r="D316" s="215"/>
      <c r="E316" s="215"/>
      <c r="F316" s="210"/>
      <c r="G316" s="210"/>
      <c r="H316" s="205"/>
    </row>
    <row r="317" spans="1:8" ht="13.2" x14ac:dyDescent="0.25">
      <c r="A317" s="205"/>
      <c r="B317" s="205"/>
      <c r="C317" s="213"/>
      <c r="D317" s="215"/>
      <c r="E317" s="215"/>
      <c r="F317" s="210"/>
      <c r="G317" s="210"/>
      <c r="H317" s="205"/>
    </row>
    <row r="318" spans="1:8" ht="13.2" x14ac:dyDescent="0.25">
      <c r="A318" s="205"/>
      <c r="B318" s="205"/>
      <c r="C318" s="213"/>
      <c r="D318" s="215"/>
      <c r="E318" s="215"/>
      <c r="F318" s="210"/>
      <c r="G318" s="210"/>
      <c r="H318" s="205"/>
    </row>
    <row r="319" spans="1:8" ht="13.2" x14ac:dyDescent="0.25">
      <c r="A319" s="205"/>
      <c r="B319" s="205"/>
      <c r="C319" s="213"/>
      <c r="D319" s="215"/>
      <c r="E319" s="215"/>
      <c r="F319" s="210"/>
      <c r="G319" s="210"/>
      <c r="H319" s="205"/>
    </row>
    <row r="320" spans="1:8" ht="13.2" x14ac:dyDescent="0.25">
      <c r="A320" s="205"/>
      <c r="B320" s="205"/>
      <c r="C320" s="213"/>
      <c r="D320" s="215"/>
      <c r="E320" s="215"/>
      <c r="F320" s="210"/>
      <c r="G320" s="210"/>
      <c r="H320" s="205"/>
    </row>
    <row r="321" spans="1:8" ht="13.2" x14ac:dyDescent="0.25">
      <c r="A321" s="205"/>
      <c r="B321" s="205"/>
      <c r="C321" s="213"/>
      <c r="D321" s="215"/>
      <c r="E321" s="215"/>
      <c r="F321" s="210"/>
      <c r="G321" s="210"/>
      <c r="H321" s="205"/>
    </row>
    <row r="322" spans="1:8" ht="13.2" x14ac:dyDescent="0.25">
      <c r="A322" s="205"/>
      <c r="B322" s="205"/>
      <c r="C322" s="213"/>
      <c r="D322" s="215"/>
      <c r="E322" s="215"/>
      <c r="F322" s="210"/>
      <c r="G322" s="210"/>
      <c r="H322" s="205"/>
    </row>
    <row r="323" spans="1:8" ht="13.2" x14ac:dyDescent="0.25">
      <c r="A323" s="205"/>
      <c r="B323" s="205"/>
      <c r="C323" s="213"/>
      <c r="D323" s="215"/>
      <c r="E323" s="215"/>
      <c r="F323" s="210"/>
      <c r="G323" s="210"/>
      <c r="H323" s="205"/>
    </row>
    <row r="324" spans="1:8" ht="13.2" x14ac:dyDescent="0.25">
      <c r="A324" s="205"/>
      <c r="B324" s="205"/>
      <c r="C324" s="213"/>
      <c r="D324" s="215"/>
      <c r="E324" s="215"/>
      <c r="F324" s="210"/>
      <c r="G324" s="210"/>
      <c r="H324" s="205"/>
    </row>
    <row r="325" spans="1:8" ht="13.2" x14ac:dyDescent="0.25">
      <c r="A325" s="205"/>
      <c r="B325" s="205"/>
      <c r="C325" s="208"/>
      <c r="D325" s="216"/>
      <c r="E325" s="216"/>
      <c r="F325" s="210"/>
      <c r="G325" s="217"/>
      <c r="H325" s="217"/>
    </row>
    <row r="326" spans="1:8" ht="13.2" x14ac:dyDescent="0.25">
      <c r="A326" s="205"/>
      <c r="B326" s="205"/>
      <c r="C326" s="208"/>
      <c r="D326" s="216"/>
      <c r="E326" s="216"/>
      <c r="F326" s="210"/>
      <c r="G326" s="217"/>
      <c r="H326" s="217"/>
    </row>
    <row r="327" spans="1:8" ht="13.2" x14ac:dyDescent="0.25">
      <c r="A327" s="205"/>
      <c r="B327" s="205"/>
      <c r="C327" s="208"/>
      <c r="D327" s="216"/>
      <c r="E327" s="216"/>
      <c r="F327" s="205"/>
      <c r="G327" s="217"/>
      <c r="H327" s="217"/>
    </row>
    <row r="328" spans="1:8" ht="13.2" x14ac:dyDescent="0.25">
      <c r="A328" s="205"/>
      <c r="B328" s="205"/>
      <c r="C328" s="208"/>
      <c r="D328" s="216"/>
      <c r="E328" s="216"/>
      <c r="F328" s="205"/>
      <c r="G328" s="217"/>
      <c r="H328" s="217"/>
    </row>
    <row r="329" spans="1:8" ht="13.2" x14ac:dyDescent="0.25">
      <c r="A329" s="205"/>
      <c r="B329" s="205"/>
      <c r="C329" s="208"/>
      <c r="D329" s="216"/>
      <c r="E329" s="216"/>
      <c r="F329" s="205"/>
      <c r="G329" s="217"/>
      <c r="H329" s="217"/>
    </row>
    <row r="330" spans="1:8" ht="13.2" x14ac:dyDescent="0.25">
      <c r="A330" s="205"/>
      <c r="B330" s="205"/>
      <c r="C330" s="208"/>
      <c r="D330" s="216"/>
      <c r="E330" s="216"/>
      <c r="F330" s="205"/>
      <c r="G330" s="217"/>
      <c r="H330" s="217"/>
    </row>
    <row r="331" spans="1:8" ht="13.2" x14ac:dyDescent="0.25">
      <c r="A331" s="205"/>
      <c r="B331" s="205"/>
      <c r="C331" s="208"/>
      <c r="D331" s="216"/>
      <c r="E331" s="216"/>
      <c r="F331" s="205"/>
      <c r="G331" s="217"/>
      <c r="H331" s="217"/>
    </row>
    <row r="332" spans="1:8" ht="13.2" x14ac:dyDescent="0.25">
      <c r="A332" s="205"/>
      <c r="B332" s="205"/>
      <c r="C332" s="208"/>
      <c r="D332" s="216"/>
      <c r="E332" s="216"/>
      <c r="F332" s="205"/>
      <c r="G332" s="217"/>
      <c r="H332" s="217"/>
    </row>
    <row r="333" spans="1:8" ht="13.2" x14ac:dyDescent="0.25">
      <c r="A333" s="205"/>
      <c r="B333" s="205"/>
      <c r="C333" s="208"/>
      <c r="D333" s="216"/>
      <c r="E333" s="216"/>
      <c r="F333" s="205"/>
      <c r="G333" s="217"/>
      <c r="H333" s="217"/>
    </row>
    <row r="334" spans="1:8" ht="13.2" x14ac:dyDescent="0.25">
      <c r="A334" s="205"/>
      <c r="B334" s="205"/>
      <c r="C334" s="208"/>
      <c r="D334" s="216"/>
      <c r="E334" s="216"/>
      <c r="F334" s="205"/>
      <c r="G334" s="217"/>
      <c r="H334" s="217"/>
    </row>
    <row r="335" spans="1:8" ht="13.2" x14ac:dyDescent="0.25">
      <c r="A335" s="205"/>
      <c r="B335" s="205"/>
      <c r="C335" s="208"/>
      <c r="D335" s="216"/>
      <c r="E335" s="216"/>
      <c r="F335" s="205"/>
      <c r="G335" s="217"/>
      <c r="H335" s="217"/>
    </row>
    <row r="336" spans="1:8" ht="13.2" x14ac:dyDescent="0.25">
      <c r="A336" s="205"/>
      <c r="B336" s="205"/>
      <c r="C336" s="208"/>
      <c r="D336" s="216"/>
      <c r="E336" s="216"/>
      <c r="F336" s="205"/>
      <c r="G336" s="217"/>
      <c r="H336" s="217"/>
    </row>
    <row r="337" spans="1:8" ht="13.2" x14ac:dyDescent="0.25">
      <c r="A337" s="205"/>
      <c r="B337" s="205"/>
      <c r="C337" s="208"/>
      <c r="D337" s="216"/>
      <c r="E337" s="216"/>
      <c r="F337" s="205"/>
      <c r="G337" s="217"/>
      <c r="H337" s="217"/>
    </row>
    <row r="338" spans="1:8" ht="13.2" x14ac:dyDescent="0.25">
      <c r="A338" s="205"/>
      <c r="B338" s="205"/>
      <c r="C338" s="208"/>
      <c r="D338" s="216"/>
      <c r="E338" s="216"/>
      <c r="F338" s="205"/>
      <c r="G338" s="217"/>
      <c r="H338" s="217"/>
    </row>
    <row r="339" spans="1:8" ht="13.2" x14ac:dyDescent="0.25">
      <c r="A339" s="205"/>
      <c r="B339" s="205"/>
      <c r="C339" s="208"/>
      <c r="D339" s="216"/>
      <c r="E339" s="216"/>
      <c r="F339" s="205"/>
      <c r="G339" s="217"/>
      <c r="H339" s="217"/>
    </row>
    <row r="340" spans="1:8" ht="13.2" x14ac:dyDescent="0.25">
      <c r="A340" s="205"/>
      <c r="B340" s="205"/>
      <c r="C340" s="208"/>
      <c r="D340" s="216"/>
      <c r="E340" s="216"/>
      <c r="F340" s="205"/>
      <c r="G340" s="217"/>
      <c r="H340" s="217"/>
    </row>
    <row r="341" spans="1:8" ht="13.2" x14ac:dyDescent="0.25">
      <c r="A341" s="205"/>
      <c r="B341" s="205"/>
      <c r="C341" s="208"/>
      <c r="D341" s="216"/>
      <c r="E341" s="216"/>
      <c r="F341" s="205"/>
      <c r="G341" s="217"/>
      <c r="H341" s="217"/>
    </row>
    <row r="342" spans="1:8" ht="13.2" x14ac:dyDescent="0.25">
      <c r="A342" s="205"/>
      <c r="B342" s="205"/>
      <c r="C342" s="208"/>
      <c r="D342" s="216"/>
      <c r="E342" s="216"/>
      <c r="F342" s="205"/>
      <c r="G342" s="217"/>
      <c r="H342" s="217"/>
    </row>
    <row r="343" spans="1:8" ht="13.2" x14ac:dyDescent="0.25">
      <c r="A343" s="205"/>
      <c r="B343" s="205"/>
      <c r="C343" s="208"/>
      <c r="D343" s="216"/>
      <c r="E343" s="216"/>
      <c r="F343" s="205"/>
      <c r="G343" s="217"/>
      <c r="H343" s="217"/>
    </row>
    <row r="344" spans="1:8" ht="13.2" x14ac:dyDescent="0.25">
      <c r="A344" s="205"/>
      <c r="B344" s="205"/>
      <c r="C344" s="208"/>
      <c r="D344" s="216"/>
      <c r="E344" s="216"/>
      <c r="F344" s="205"/>
      <c r="G344" s="217"/>
      <c r="H344" s="217"/>
    </row>
    <row r="345" spans="1:8" ht="13.2" x14ac:dyDescent="0.25">
      <c r="A345" s="205"/>
      <c r="B345" s="205"/>
      <c r="C345" s="208"/>
      <c r="D345" s="216"/>
      <c r="E345" s="216"/>
      <c r="F345" s="205"/>
      <c r="G345" s="217"/>
      <c r="H345" s="217"/>
    </row>
    <row r="346" spans="1:8" ht="13.2" x14ac:dyDescent="0.25">
      <c r="A346" s="205"/>
      <c r="B346" s="205"/>
      <c r="C346" s="208"/>
      <c r="D346" s="216"/>
      <c r="E346" s="216"/>
      <c r="F346" s="205"/>
      <c r="G346" s="217"/>
      <c r="H346" s="217"/>
    </row>
    <row r="347" spans="1:8" ht="13.2" x14ac:dyDescent="0.25">
      <c r="A347" s="205"/>
      <c r="B347" s="205"/>
      <c r="C347" s="208"/>
      <c r="D347" s="216"/>
      <c r="E347" s="216"/>
      <c r="F347" s="205"/>
      <c r="G347" s="217"/>
      <c r="H347" s="217"/>
    </row>
    <row r="348" spans="1:8" ht="13.2" x14ac:dyDescent="0.25">
      <c r="A348" s="205"/>
      <c r="B348" s="205"/>
      <c r="C348" s="208"/>
      <c r="D348" s="216"/>
      <c r="E348" s="216"/>
      <c r="F348" s="205"/>
      <c r="G348" s="217"/>
      <c r="H348" s="217"/>
    </row>
    <row r="349" spans="1:8" ht="13.2" x14ac:dyDescent="0.25">
      <c r="A349" s="205"/>
      <c r="B349" s="205"/>
      <c r="C349" s="208"/>
      <c r="D349" s="216"/>
      <c r="E349" s="216"/>
      <c r="F349" s="205"/>
      <c r="G349" s="217"/>
      <c r="H349" s="217"/>
    </row>
    <row r="350" spans="1:8" ht="13.2" x14ac:dyDescent="0.25">
      <c r="A350" s="205"/>
      <c r="B350" s="205"/>
      <c r="C350" s="208"/>
      <c r="D350" s="216"/>
      <c r="E350" s="216"/>
      <c r="F350" s="205"/>
      <c r="G350" s="217"/>
      <c r="H350" s="217"/>
    </row>
    <row r="351" spans="1:8" ht="13.2" x14ac:dyDescent="0.25">
      <c r="A351" s="205"/>
      <c r="B351" s="205"/>
      <c r="C351" s="218"/>
      <c r="D351" s="216"/>
      <c r="E351" s="216"/>
      <c r="F351" s="205"/>
      <c r="G351" s="217"/>
      <c r="H351" s="217"/>
    </row>
    <row r="352" spans="1:8" ht="13.2" x14ac:dyDescent="0.25">
      <c r="A352" s="205"/>
      <c r="B352" s="205"/>
      <c r="C352" s="218"/>
      <c r="D352" s="216"/>
      <c r="E352" s="216"/>
      <c r="F352" s="205"/>
      <c r="G352" s="217"/>
      <c r="H352" s="217"/>
    </row>
    <row r="353" spans="1:8" ht="13.2" x14ac:dyDescent="0.25">
      <c r="A353" s="205"/>
      <c r="B353" s="205"/>
      <c r="C353" s="218"/>
      <c r="D353" s="216"/>
      <c r="E353" s="216"/>
      <c r="F353" s="205"/>
      <c r="G353" s="217"/>
      <c r="H353" s="217"/>
    </row>
    <row r="354" spans="1:8" ht="13.2" x14ac:dyDescent="0.25">
      <c r="A354" s="205"/>
      <c r="B354" s="205"/>
      <c r="C354" s="218"/>
      <c r="D354" s="216"/>
      <c r="E354" s="216"/>
      <c r="F354" s="205"/>
      <c r="G354" s="217"/>
      <c r="H354" s="217"/>
    </row>
    <row r="355" spans="1:8" ht="13.2" x14ac:dyDescent="0.25">
      <c r="A355" s="205"/>
      <c r="B355" s="205"/>
      <c r="C355" s="218"/>
      <c r="D355" s="216"/>
      <c r="E355" s="216"/>
      <c r="F355" s="205"/>
      <c r="G355" s="217"/>
      <c r="H355" s="217"/>
    </row>
    <row r="356" spans="1:8" ht="13.2" x14ac:dyDescent="0.25">
      <c r="A356" s="205"/>
      <c r="B356" s="205"/>
      <c r="C356" s="218"/>
      <c r="D356" s="216"/>
      <c r="E356" s="216"/>
      <c r="F356" s="205"/>
      <c r="G356" s="217"/>
      <c r="H356" s="217"/>
    </row>
    <row r="357" spans="1:8" ht="13.2" x14ac:dyDescent="0.25">
      <c r="A357" s="205"/>
      <c r="B357" s="205"/>
      <c r="C357" s="218"/>
      <c r="D357" s="216"/>
      <c r="E357" s="216"/>
      <c r="F357" s="205"/>
      <c r="G357" s="217"/>
      <c r="H357" s="217"/>
    </row>
    <row r="358" spans="1:8" ht="13.2" x14ac:dyDescent="0.25">
      <c r="A358" s="205"/>
      <c r="B358" s="205"/>
      <c r="C358" s="218"/>
      <c r="D358" s="216"/>
      <c r="E358" s="216"/>
      <c r="F358" s="205"/>
      <c r="G358" s="217"/>
      <c r="H358" s="217"/>
    </row>
    <row r="359" spans="1:8" ht="13.2" x14ac:dyDescent="0.25">
      <c r="A359" s="205"/>
      <c r="B359" s="205"/>
      <c r="C359" s="218"/>
      <c r="D359" s="216"/>
      <c r="E359" s="216"/>
      <c r="F359" s="205"/>
      <c r="G359" s="217"/>
      <c r="H359" s="217"/>
    </row>
    <row r="360" spans="1:8" ht="13.2" x14ac:dyDescent="0.25">
      <c r="A360" s="205"/>
      <c r="B360" s="205"/>
      <c r="C360" s="218"/>
      <c r="D360" s="216"/>
      <c r="E360" s="216"/>
      <c r="F360" s="205"/>
      <c r="G360" s="217"/>
      <c r="H360" s="217"/>
    </row>
    <row r="361" spans="1:8" ht="13.2" x14ac:dyDescent="0.25">
      <c r="A361" s="205"/>
      <c r="B361" s="205"/>
      <c r="C361" s="218"/>
      <c r="D361" s="216"/>
      <c r="E361" s="216"/>
      <c r="F361" s="205"/>
      <c r="G361" s="217"/>
      <c r="H361" s="217"/>
    </row>
    <row r="362" spans="1:8" ht="13.2" x14ac:dyDescent="0.25">
      <c r="A362" s="205"/>
      <c r="B362" s="205"/>
      <c r="C362" s="218"/>
      <c r="D362" s="216"/>
      <c r="E362" s="216"/>
      <c r="F362" s="205"/>
      <c r="G362" s="217"/>
      <c r="H362" s="217"/>
    </row>
    <row r="363" spans="1:8" ht="13.2" x14ac:dyDescent="0.25">
      <c r="A363" s="205"/>
      <c r="B363" s="205"/>
      <c r="C363" s="208"/>
      <c r="D363" s="216"/>
      <c r="E363" s="216"/>
      <c r="F363" s="205"/>
      <c r="G363" s="217"/>
      <c r="H363" s="217"/>
    </row>
    <row r="364" spans="1:8" ht="13.2" x14ac:dyDescent="0.25">
      <c r="A364" s="205"/>
      <c r="B364" s="205"/>
      <c r="C364" s="208"/>
      <c r="D364" s="216"/>
      <c r="E364" s="216"/>
      <c r="F364" s="205"/>
      <c r="G364" s="217"/>
      <c r="H364" s="217"/>
    </row>
    <row r="365" spans="1:8" ht="13.2" x14ac:dyDescent="0.25">
      <c r="A365" s="205"/>
      <c r="B365" s="205"/>
      <c r="C365" s="208"/>
      <c r="D365" s="216"/>
      <c r="E365" s="216"/>
      <c r="F365" s="205"/>
      <c r="G365" s="205"/>
      <c r="H365" s="205"/>
    </row>
    <row r="366" spans="1:8" ht="13.2" x14ac:dyDescent="0.25">
      <c r="A366" s="205"/>
      <c r="B366" s="205"/>
      <c r="C366" s="208"/>
      <c r="D366" s="216"/>
      <c r="E366" s="216"/>
      <c r="F366" s="205"/>
      <c r="G366" s="205"/>
      <c r="H366" s="205"/>
    </row>
    <row r="367" spans="1:8" ht="13.2" x14ac:dyDescent="0.25">
      <c r="A367" s="205"/>
      <c r="B367" s="205"/>
      <c r="C367" s="208"/>
      <c r="D367" s="216"/>
      <c r="E367" s="216"/>
      <c r="F367" s="205"/>
      <c r="G367" s="205"/>
      <c r="H367" s="205"/>
    </row>
    <row r="368" spans="1:8" ht="13.2" x14ac:dyDescent="0.25">
      <c r="A368" s="205"/>
      <c r="B368" s="205"/>
      <c r="C368" s="208"/>
      <c r="D368" s="216"/>
      <c r="E368" s="216"/>
      <c r="F368" s="205"/>
      <c r="G368" s="205"/>
      <c r="H368" s="205"/>
    </row>
    <row r="369" spans="1:8" ht="13.2" x14ac:dyDescent="0.25">
      <c r="A369" s="205"/>
      <c r="B369" s="205"/>
      <c r="C369" s="208"/>
      <c r="D369" s="216"/>
      <c r="E369" s="216"/>
      <c r="F369" s="205"/>
      <c r="G369" s="205"/>
      <c r="H369" s="205"/>
    </row>
    <row r="370" spans="1:8" ht="13.2" x14ac:dyDescent="0.25">
      <c r="A370" s="205"/>
      <c r="B370" s="205"/>
      <c r="C370" s="208"/>
      <c r="D370" s="216"/>
      <c r="E370" s="216"/>
      <c r="F370" s="205"/>
      <c r="G370" s="205"/>
      <c r="H370" s="205"/>
    </row>
    <row r="371" spans="1:8" ht="13.2" x14ac:dyDescent="0.25">
      <c r="A371" s="205"/>
      <c r="B371" s="205"/>
      <c r="C371" s="208"/>
      <c r="D371" s="216"/>
      <c r="E371" s="216"/>
      <c r="F371" s="205"/>
      <c r="G371" s="205"/>
      <c r="H371" s="205"/>
    </row>
    <row r="372" spans="1:8" ht="13.2" x14ac:dyDescent="0.25">
      <c r="A372" s="205"/>
      <c r="B372" s="205"/>
      <c r="C372" s="208"/>
      <c r="D372" s="216"/>
      <c r="E372" s="216"/>
      <c r="F372" s="205"/>
      <c r="G372" s="205"/>
      <c r="H372" s="205"/>
    </row>
    <row r="373" spans="1:8" ht="13.2" x14ac:dyDescent="0.25">
      <c r="A373" s="205"/>
      <c r="B373" s="205"/>
      <c r="C373" s="208"/>
      <c r="D373" s="216"/>
      <c r="E373" s="216"/>
      <c r="F373" s="205"/>
      <c r="G373" s="205"/>
      <c r="H373" s="205"/>
    </row>
    <row r="374" spans="1:8" ht="13.2" x14ac:dyDescent="0.25">
      <c r="A374" s="205"/>
      <c r="B374" s="205"/>
      <c r="C374" s="208"/>
      <c r="D374" s="216"/>
      <c r="E374" s="216"/>
      <c r="F374" s="205"/>
      <c r="G374" s="205"/>
      <c r="H374" s="205"/>
    </row>
    <row r="375" spans="1:8" ht="13.2" x14ac:dyDescent="0.25">
      <c r="A375" s="205"/>
      <c r="B375" s="205"/>
      <c r="C375" s="208"/>
      <c r="D375" s="216"/>
      <c r="E375" s="216"/>
      <c r="F375" s="205"/>
      <c r="G375" s="205"/>
      <c r="H375" s="205"/>
    </row>
    <row r="376" spans="1:8" ht="13.2" x14ac:dyDescent="0.25">
      <c r="A376" s="205"/>
      <c r="B376" s="205"/>
      <c r="C376" s="208"/>
      <c r="D376" s="216"/>
      <c r="E376" s="216"/>
      <c r="F376" s="205"/>
      <c r="G376" s="205"/>
      <c r="H376" s="205"/>
    </row>
    <row r="377" spans="1:8" ht="13.2" x14ac:dyDescent="0.25">
      <c r="A377" s="205"/>
      <c r="B377" s="205"/>
      <c r="C377" s="208"/>
      <c r="D377" s="216"/>
      <c r="E377" s="216"/>
      <c r="F377" s="205"/>
      <c r="G377" s="205"/>
      <c r="H377" s="205"/>
    </row>
    <row r="378" spans="1:8" ht="13.2" x14ac:dyDescent="0.25">
      <c r="A378" s="205"/>
      <c r="B378" s="205"/>
      <c r="C378" s="208"/>
      <c r="D378" s="216"/>
      <c r="E378" s="216"/>
      <c r="F378" s="205"/>
      <c r="G378" s="205"/>
      <c r="H378" s="205"/>
    </row>
    <row r="379" spans="1:8" ht="13.2" x14ac:dyDescent="0.25">
      <c r="A379" s="205"/>
      <c r="B379" s="205"/>
      <c r="C379" s="208"/>
      <c r="D379" s="216"/>
      <c r="E379" s="216"/>
      <c r="F379" s="205"/>
      <c r="G379" s="205"/>
      <c r="H379" s="205"/>
    </row>
    <row r="380" spans="1:8" ht="13.2" x14ac:dyDescent="0.25">
      <c r="A380" s="205"/>
      <c r="B380" s="205"/>
      <c r="C380" s="208"/>
      <c r="D380" s="216"/>
      <c r="E380" s="216"/>
      <c r="F380" s="205"/>
      <c r="G380" s="205"/>
      <c r="H380" s="205"/>
    </row>
    <row r="381" spans="1:8" ht="13.2" x14ac:dyDescent="0.25">
      <c r="A381" s="205"/>
      <c r="B381" s="205"/>
      <c r="C381" s="208"/>
      <c r="D381" s="216"/>
      <c r="E381" s="216"/>
      <c r="F381" s="205"/>
      <c r="G381" s="205"/>
      <c r="H381" s="205"/>
    </row>
    <row r="382" spans="1:8" ht="13.2" x14ac:dyDescent="0.25">
      <c r="A382" s="205"/>
      <c r="B382" s="205"/>
      <c r="C382" s="208"/>
      <c r="D382" s="216"/>
      <c r="E382" s="216"/>
      <c r="F382" s="205"/>
      <c r="G382" s="205"/>
      <c r="H382" s="205"/>
    </row>
    <row r="383" spans="1:8" ht="13.2" x14ac:dyDescent="0.25">
      <c r="A383" s="205"/>
      <c r="B383" s="205"/>
      <c r="C383" s="208"/>
      <c r="D383" s="216"/>
      <c r="E383" s="216"/>
      <c r="F383" s="205"/>
      <c r="G383" s="205"/>
      <c r="H383" s="205"/>
    </row>
    <row r="384" spans="1:8" ht="13.2" x14ac:dyDescent="0.25">
      <c r="A384" s="205"/>
      <c r="B384" s="205"/>
      <c r="C384" s="208"/>
      <c r="D384" s="216"/>
      <c r="E384" s="216"/>
      <c r="F384" s="205"/>
      <c r="G384" s="205"/>
      <c r="H384" s="205"/>
    </row>
    <row r="385" spans="1:8" ht="13.2" x14ac:dyDescent="0.25">
      <c r="A385" s="205"/>
      <c r="B385" s="205"/>
      <c r="C385" s="205"/>
      <c r="D385" s="216"/>
      <c r="E385" s="216"/>
      <c r="F385" s="205"/>
      <c r="G385" s="205"/>
      <c r="H385" s="205"/>
    </row>
    <row r="386" spans="1:8" ht="13.2" x14ac:dyDescent="0.25">
      <c r="A386" s="205"/>
      <c r="B386" s="205"/>
      <c r="C386" s="205"/>
      <c r="D386" s="216"/>
      <c r="E386" s="216"/>
      <c r="F386" s="205"/>
      <c r="G386" s="205"/>
      <c r="H386" s="205"/>
    </row>
    <row r="387" spans="1:8" ht="13.2" x14ac:dyDescent="0.25">
      <c r="A387" s="205"/>
      <c r="B387" s="205"/>
      <c r="C387" s="205"/>
      <c r="D387" s="216"/>
      <c r="E387" s="216"/>
      <c r="F387" s="205"/>
      <c r="G387" s="205"/>
      <c r="H387" s="205"/>
    </row>
    <row r="388" spans="1:8" ht="13.2" x14ac:dyDescent="0.25">
      <c r="A388" s="205"/>
      <c r="B388" s="205"/>
      <c r="C388" s="205"/>
      <c r="D388" s="216"/>
      <c r="E388" s="216"/>
      <c r="F388" s="205"/>
      <c r="G388" s="205"/>
      <c r="H388" s="205"/>
    </row>
    <row r="389" spans="1:8" ht="13.2" x14ac:dyDescent="0.25">
      <c r="A389" s="205"/>
      <c r="B389" s="205"/>
      <c r="C389" s="205"/>
      <c r="D389" s="216"/>
      <c r="E389" s="216"/>
      <c r="F389" s="205"/>
      <c r="G389" s="205"/>
      <c r="H389" s="205"/>
    </row>
    <row r="390" spans="1:8" ht="13.2" x14ac:dyDescent="0.25">
      <c r="A390" s="205"/>
      <c r="B390" s="205"/>
      <c r="C390" s="205"/>
      <c r="D390" s="216"/>
      <c r="E390" s="216"/>
      <c r="F390" s="205"/>
      <c r="G390" s="205"/>
      <c r="H390" s="205"/>
    </row>
    <row r="391" spans="1:8" ht="13.2" x14ac:dyDescent="0.25">
      <c r="A391" s="205"/>
      <c r="B391" s="205"/>
      <c r="C391" s="205"/>
      <c r="D391" s="216"/>
      <c r="E391" s="216"/>
      <c r="F391" s="205"/>
      <c r="G391" s="205"/>
      <c r="H391" s="205"/>
    </row>
    <row r="392" spans="1:8" ht="13.2" x14ac:dyDescent="0.25">
      <c r="A392" s="205"/>
      <c r="B392" s="205"/>
      <c r="C392" s="205"/>
      <c r="D392" s="216"/>
      <c r="E392" s="216"/>
      <c r="F392" s="205"/>
      <c r="G392" s="205"/>
      <c r="H392" s="205"/>
    </row>
    <row r="393" spans="1:8" ht="13.2" x14ac:dyDescent="0.25">
      <c r="A393" s="205"/>
      <c r="B393" s="205"/>
      <c r="C393" s="205"/>
      <c r="D393" s="216"/>
      <c r="E393" s="216"/>
      <c r="F393" s="205"/>
      <c r="G393" s="205"/>
      <c r="H393" s="205"/>
    </row>
    <row r="394" spans="1:8" ht="13.2" x14ac:dyDescent="0.25">
      <c r="A394" s="205"/>
      <c r="B394" s="205"/>
      <c r="C394" s="205"/>
      <c r="D394" s="216"/>
      <c r="E394" s="216"/>
      <c r="F394" s="205"/>
      <c r="G394" s="205"/>
      <c r="H394" s="205"/>
    </row>
    <row r="395" spans="1:8" ht="13.2" x14ac:dyDescent="0.25">
      <c r="A395" s="205"/>
      <c r="B395" s="205"/>
      <c r="C395" s="205"/>
      <c r="D395" s="216"/>
      <c r="E395" s="216"/>
      <c r="F395" s="205"/>
      <c r="G395" s="205"/>
      <c r="H395" s="205"/>
    </row>
    <row r="396" spans="1:8" ht="13.2" x14ac:dyDescent="0.25">
      <c r="A396" s="205"/>
      <c r="B396" s="205"/>
      <c r="C396" s="205"/>
      <c r="D396" s="216"/>
      <c r="E396" s="216"/>
      <c r="F396" s="205"/>
      <c r="G396" s="205"/>
      <c r="H396" s="205"/>
    </row>
    <row r="397" spans="1:8" ht="13.2" x14ac:dyDescent="0.25">
      <c r="A397" s="205"/>
      <c r="B397" s="205"/>
      <c r="C397" s="205"/>
      <c r="D397" s="216"/>
      <c r="E397" s="216"/>
      <c r="F397" s="205"/>
      <c r="G397" s="205"/>
      <c r="H397" s="205"/>
    </row>
    <row r="398" spans="1:8" ht="13.2" x14ac:dyDescent="0.25">
      <c r="A398" s="205"/>
      <c r="B398" s="205"/>
      <c r="C398" s="205"/>
      <c r="D398" s="216"/>
      <c r="E398" s="216"/>
      <c r="F398" s="205"/>
      <c r="G398" s="205"/>
      <c r="H398" s="205"/>
    </row>
    <row r="399" spans="1:8" ht="13.2" x14ac:dyDescent="0.25">
      <c r="A399" s="205"/>
      <c r="B399" s="205"/>
      <c r="C399" s="205"/>
      <c r="D399" s="216"/>
      <c r="E399" s="216"/>
      <c r="F399" s="205"/>
      <c r="G399" s="205"/>
      <c r="H399" s="205"/>
    </row>
    <row r="400" spans="1:8" ht="13.2" x14ac:dyDescent="0.25">
      <c r="A400" s="205"/>
      <c r="B400" s="205"/>
      <c r="C400" s="205"/>
      <c r="D400" s="216"/>
      <c r="E400" s="216"/>
      <c r="F400" s="205"/>
      <c r="G400" s="205"/>
      <c r="H400" s="205"/>
    </row>
    <row r="401" spans="1:8" ht="13.2" x14ac:dyDescent="0.25">
      <c r="A401" s="205"/>
      <c r="B401" s="205"/>
      <c r="C401" s="205"/>
      <c r="D401" s="216"/>
      <c r="E401" s="216"/>
      <c r="F401" s="205"/>
      <c r="G401" s="205"/>
      <c r="H401" s="205"/>
    </row>
    <row r="402" spans="1:8" ht="13.2" x14ac:dyDescent="0.25">
      <c r="A402" s="205"/>
      <c r="B402" s="205"/>
      <c r="C402" s="205"/>
      <c r="D402" s="216"/>
      <c r="E402" s="216"/>
      <c r="F402" s="205"/>
      <c r="G402" s="205"/>
      <c r="H402" s="205"/>
    </row>
    <row r="403" spans="1:8" ht="13.2" x14ac:dyDescent="0.25">
      <c r="A403" s="205"/>
      <c r="B403" s="205"/>
      <c r="C403" s="205"/>
      <c r="D403" s="216"/>
      <c r="E403" s="216"/>
      <c r="F403" s="205"/>
      <c r="G403" s="205"/>
      <c r="H403" s="205"/>
    </row>
    <row r="404" spans="1:8" ht="13.2" x14ac:dyDescent="0.25">
      <c r="A404" s="205"/>
      <c r="B404" s="205"/>
      <c r="C404" s="205"/>
      <c r="D404" s="216"/>
      <c r="E404" s="216"/>
      <c r="F404" s="205"/>
      <c r="G404" s="205"/>
      <c r="H404" s="205"/>
    </row>
    <row r="405" spans="1:8" ht="13.2" x14ac:dyDescent="0.25">
      <c r="A405" s="205"/>
      <c r="B405" s="205"/>
      <c r="C405" s="205"/>
      <c r="D405" s="216"/>
      <c r="E405" s="216"/>
      <c r="F405" s="205"/>
      <c r="G405" s="205"/>
      <c r="H405" s="205"/>
    </row>
    <row r="406" spans="1:8" ht="13.2" x14ac:dyDescent="0.25">
      <c r="A406" s="205"/>
      <c r="B406" s="205"/>
      <c r="C406" s="205"/>
      <c r="D406" s="216"/>
      <c r="E406" s="216"/>
      <c r="F406" s="205"/>
      <c r="G406" s="205"/>
      <c r="H406" s="205"/>
    </row>
    <row r="407" spans="1:8" ht="13.2" x14ac:dyDescent="0.25">
      <c r="A407" s="205"/>
      <c r="B407" s="205"/>
      <c r="C407" s="205"/>
      <c r="D407" s="216"/>
      <c r="E407" s="216"/>
      <c r="F407" s="205"/>
      <c r="G407" s="205"/>
      <c r="H407" s="205"/>
    </row>
    <row r="408" spans="1:8" ht="13.2" x14ac:dyDescent="0.25">
      <c r="A408" s="205"/>
      <c r="B408" s="205"/>
      <c r="C408" s="205"/>
      <c r="D408" s="216"/>
      <c r="E408" s="216"/>
      <c r="F408" s="205"/>
      <c r="G408" s="205"/>
      <c r="H408" s="205"/>
    </row>
    <row r="409" spans="1:8" ht="13.2" x14ac:dyDescent="0.25">
      <c r="A409" s="205"/>
      <c r="B409" s="205"/>
      <c r="C409" s="205"/>
      <c r="D409" s="216"/>
      <c r="E409" s="216"/>
      <c r="F409" s="205"/>
      <c r="G409" s="205"/>
      <c r="H409" s="205"/>
    </row>
    <row r="410" spans="1:8" ht="13.2" x14ac:dyDescent="0.25">
      <c r="A410" s="205"/>
      <c r="B410" s="205"/>
      <c r="C410" s="205"/>
      <c r="D410" s="216"/>
      <c r="E410" s="216"/>
      <c r="F410" s="205"/>
      <c r="G410" s="205"/>
      <c r="H410" s="205"/>
    </row>
    <row r="411" spans="1:8" ht="13.2" x14ac:dyDescent="0.25">
      <c r="A411" s="205"/>
      <c r="B411" s="205"/>
      <c r="C411" s="205"/>
      <c r="D411" s="216"/>
      <c r="E411" s="216"/>
      <c r="F411" s="205"/>
      <c r="G411" s="205"/>
      <c r="H411" s="205"/>
    </row>
    <row r="412" spans="1:8" ht="13.2" x14ac:dyDescent="0.25">
      <c r="A412" s="205"/>
      <c r="B412" s="205"/>
      <c r="C412" s="205"/>
      <c r="D412" s="216"/>
      <c r="E412" s="216"/>
      <c r="F412" s="205"/>
      <c r="G412" s="205"/>
      <c r="H412" s="205"/>
    </row>
    <row r="413" spans="1:8" ht="13.2" x14ac:dyDescent="0.25">
      <c r="A413" s="205"/>
      <c r="B413" s="205"/>
      <c r="C413" s="205"/>
      <c r="D413" s="216"/>
      <c r="E413" s="216"/>
      <c r="F413" s="205"/>
      <c r="G413" s="205"/>
      <c r="H413" s="205"/>
    </row>
    <row r="414" spans="1:8" ht="13.2" x14ac:dyDescent="0.25">
      <c r="A414" s="205"/>
      <c r="B414" s="205"/>
      <c r="C414" s="205"/>
      <c r="D414" s="216"/>
      <c r="E414" s="216"/>
      <c r="F414" s="205"/>
      <c r="G414" s="205"/>
      <c r="H414" s="205"/>
    </row>
    <row r="415" spans="1:8" ht="13.2" x14ac:dyDescent="0.25">
      <c r="A415" s="205"/>
      <c r="B415" s="205"/>
      <c r="C415" s="205"/>
      <c r="D415" s="216"/>
      <c r="E415" s="216"/>
      <c r="F415" s="205"/>
      <c r="G415" s="205"/>
      <c r="H415" s="205"/>
    </row>
    <row r="416" spans="1:8" ht="13.2" x14ac:dyDescent="0.25">
      <c r="A416" s="205"/>
      <c r="B416" s="205"/>
      <c r="C416" s="205"/>
      <c r="D416" s="216"/>
      <c r="E416" s="216"/>
      <c r="F416" s="205"/>
      <c r="G416" s="205"/>
      <c r="H416" s="205"/>
    </row>
    <row r="417" spans="1:8" ht="13.2" x14ac:dyDescent="0.25">
      <c r="A417" s="205"/>
      <c r="B417" s="205"/>
      <c r="C417" s="205"/>
      <c r="D417" s="216"/>
      <c r="E417" s="216"/>
      <c r="F417" s="205"/>
      <c r="G417" s="205"/>
      <c r="H417" s="205"/>
    </row>
    <row r="418" spans="1:8" ht="13.2" x14ac:dyDescent="0.25">
      <c r="A418" s="205"/>
      <c r="B418" s="205"/>
      <c r="C418" s="205"/>
      <c r="D418" s="216"/>
      <c r="E418" s="216"/>
      <c r="F418" s="205"/>
      <c r="G418" s="205"/>
      <c r="H418" s="205"/>
    </row>
    <row r="419" spans="1:8" ht="13.2" x14ac:dyDescent="0.25">
      <c r="A419" s="205"/>
      <c r="B419" s="205"/>
      <c r="C419" s="205"/>
      <c r="D419" s="216"/>
      <c r="E419" s="216"/>
      <c r="F419" s="205"/>
      <c r="G419" s="205"/>
      <c r="H419" s="205"/>
    </row>
    <row r="420" spans="1:8" ht="13.2" x14ac:dyDescent="0.25">
      <c r="A420" s="205"/>
      <c r="B420" s="205"/>
      <c r="C420" s="205"/>
      <c r="D420" s="216"/>
      <c r="E420" s="216"/>
      <c r="F420" s="205"/>
      <c r="G420" s="205"/>
      <c r="H420" s="205"/>
    </row>
    <row r="421" spans="1:8" ht="13.2" x14ac:dyDescent="0.25">
      <c r="A421" s="205"/>
      <c r="B421" s="205"/>
      <c r="C421" s="205"/>
      <c r="D421" s="216"/>
      <c r="E421" s="216"/>
      <c r="F421" s="205"/>
      <c r="G421" s="205"/>
      <c r="H421" s="205"/>
    </row>
    <row r="422" spans="1:8" ht="13.2" x14ac:dyDescent="0.25">
      <c r="A422" s="205"/>
      <c r="B422" s="205"/>
      <c r="C422" s="205"/>
      <c r="D422" s="216"/>
      <c r="E422" s="216"/>
      <c r="F422" s="205"/>
      <c r="G422" s="205"/>
      <c r="H422" s="205"/>
    </row>
    <row r="423" spans="1:8" ht="13.2" x14ac:dyDescent="0.25">
      <c r="A423" s="205"/>
      <c r="B423" s="205"/>
      <c r="C423" s="205"/>
      <c r="D423" s="216"/>
      <c r="E423" s="216"/>
      <c r="F423" s="205"/>
      <c r="G423" s="205"/>
      <c r="H423" s="205"/>
    </row>
    <row r="424" spans="1:8" ht="13.2" x14ac:dyDescent="0.25">
      <c r="A424" s="205"/>
      <c r="B424" s="205"/>
      <c r="C424" s="205"/>
      <c r="D424" s="216"/>
      <c r="E424" s="216"/>
      <c r="F424" s="205"/>
      <c r="G424" s="205"/>
      <c r="H424" s="205"/>
    </row>
    <row r="425" spans="1:8" ht="13.2" x14ac:dyDescent="0.25">
      <c r="A425" s="205"/>
      <c r="B425" s="205"/>
      <c r="C425" s="205"/>
      <c r="D425" s="216"/>
      <c r="E425" s="216"/>
      <c r="F425" s="205"/>
      <c r="G425" s="205"/>
      <c r="H425" s="205"/>
    </row>
    <row r="426" spans="1:8" ht="13.2" x14ac:dyDescent="0.25">
      <c r="A426" s="205"/>
      <c r="B426" s="205"/>
      <c r="C426" s="205"/>
      <c r="D426" s="216"/>
      <c r="E426" s="216"/>
      <c r="F426" s="205"/>
      <c r="G426" s="205"/>
      <c r="H426" s="205"/>
    </row>
    <row r="427" spans="1:8" ht="13.2" x14ac:dyDescent="0.25">
      <c r="A427" s="205"/>
      <c r="B427" s="205"/>
      <c r="C427" s="205"/>
      <c r="D427" s="216"/>
      <c r="E427" s="216"/>
      <c r="F427" s="205"/>
      <c r="G427" s="205"/>
      <c r="H427" s="205"/>
    </row>
    <row r="428" spans="1:8" ht="13.2" x14ac:dyDescent="0.25">
      <c r="A428" s="205"/>
      <c r="B428" s="205"/>
      <c r="C428" s="205"/>
      <c r="D428" s="216"/>
      <c r="E428" s="216"/>
      <c r="F428" s="205"/>
      <c r="G428" s="205"/>
      <c r="H428" s="205"/>
    </row>
    <row r="429" spans="1:8" ht="13.2" x14ac:dyDescent="0.25">
      <c r="A429" s="205"/>
      <c r="B429" s="205"/>
      <c r="C429" s="205"/>
      <c r="D429" s="216"/>
      <c r="E429" s="216"/>
      <c r="F429" s="205"/>
      <c r="G429" s="205"/>
      <c r="H429" s="205"/>
    </row>
    <row r="430" spans="1:8" ht="13.2" x14ac:dyDescent="0.25">
      <c r="A430" s="205"/>
      <c r="B430" s="205"/>
      <c r="C430" s="205"/>
      <c r="D430" s="216"/>
      <c r="E430" s="216"/>
      <c r="F430" s="205"/>
      <c r="G430" s="205"/>
      <c r="H430" s="205"/>
    </row>
    <row r="431" spans="1:8" ht="13.2" x14ac:dyDescent="0.25">
      <c r="A431" s="205"/>
      <c r="B431" s="205"/>
      <c r="C431" s="205"/>
      <c r="D431" s="216"/>
      <c r="E431" s="216"/>
      <c r="F431" s="205"/>
      <c r="G431" s="205"/>
      <c r="H431" s="205"/>
    </row>
    <row r="432" spans="1:8" ht="13.2" x14ac:dyDescent="0.25">
      <c r="A432" s="205"/>
      <c r="B432" s="205"/>
      <c r="C432" s="205"/>
      <c r="D432" s="216"/>
      <c r="E432" s="216"/>
      <c r="F432" s="205"/>
      <c r="G432" s="205"/>
      <c r="H432" s="205"/>
    </row>
    <row r="433" spans="1:8" ht="13.2" x14ac:dyDescent="0.25">
      <c r="A433" s="205"/>
      <c r="B433" s="205"/>
      <c r="C433" s="205"/>
      <c r="D433" s="216"/>
      <c r="E433" s="216"/>
      <c r="F433" s="205"/>
      <c r="G433" s="205"/>
      <c r="H433" s="205"/>
    </row>
    <row r="434" spans="1:8" ht="13.2" x14ac:dyDescent="0.25">
      <c r="A434" s="205"/>
      <c r="B434" s="205"/>
      <c r="C434" s="205"/>
      <c r="D434" s="216"/>
      <c r="E434" s="216"/>
      <c r="F434" s="205"/>
      <c r="G434" s="205"/>
      <c r="H434" s="205"/>
    </row>
    <row r="435" spans="1:8" ht="13.2" x14ac:dyDescent="0.25">
      <c r="A435" s="205"/>
      <c r="B435" s="205"/>
      <c r="C435" s="205"/>
      <c r="D435" s="216"/>
      <c r="E435" s="216"/>
      <c r="F435" s="205"/>
      <c r="G435" s="205"/>
      <c r="H435" s="205"/>
    </row>
    <row r="436" spans="1:8" ht="13.2" x14ac:dyDescent="0.25">
      <c r="A436" s="205"/>
      <c r="B436" s="205"/>
      <c r="C436" s="205"/>
      <c r="D436" s="216"/>
      <c r="E436" s="216"/>
      <c r="F436" s="205"/>
      <c r="G436" s="205"/>
      <c r="H436" s="205"/>
    </row>
    <row r="437" spans="1:8" ht="13.2" x14ac:dyDescent="0.25">
      <c r="A437" s="205"/>
      <c r="B437" s="205"/>
      <c r="C437" s="205"/>
      <c r="D437" s="216"/>
      <c r="E437" s="216"/>
      <c r="F437" s="205"/>
      <c r="G437" s="205"/>
      <c r="H437" s="205"/>
    </row>
    <row r="438" spans="1:8" ht="13.2" x14ac:dyDescent="0.25">
      <c r="A438" s="205"/>
      <c r="B438" s="205"/>
      <c r="C438" s="205"/>
      <c r="D438" s="216"/>
      <c r="E438" s="216"/>
      <c r="F438" s="205"/>
      <c r="G438" s="205"/>
      <c r="H438" s="205"/>
    </row>
    <row r="439" spans="1:8" ht="13.2" x14ac:dyDescent="0.25">
      <c r="A439" s="205"/>
      <c r="B439" s="205"/>
      <c r="C439" s="205"/>
      <c r="D439" s="216"/>
      <c r="E439" s="216"/>
      <c r="F439" s="205"/>
      <c r="G439" s="205"/>
      <c r="H439" s="205"/>
    </row>
    <row r="440" spans="1:8" ht="13.2" x14ac:dyDescent="0.25">
      <c r="A440" s="205"/>
      <c r="B440" s="205"/>
      <c r="C440" s="205"/>
      <c r="D440" s="216"/>
      <c r="E440" s="216"/>
      <c r="F440" s="205"/>
      <c r="G440" s="205"/>
      <c r="H440" s="205"/>
    </row>
    <row r="441" spans="1:8" ht="13.2" x14ac:dyDescent="0.25">
      <c r="A441" s="205"/>
      <c r="B441" s="205"/>
      <c r="C441" s="205"/>
      <c r="D441" s="216"/>
      <c r="E441" s="216"/>
      <c r="F441" s="205"/>
      <c r="G441" s="205"/>
      <c r="H441" s="205"/>
    </row>
    <row r="442" spans="1:8" ht="13.2" x14ac:dyDescent="0.25">
      <c r="A442" s="205"/>
      <c r="B442" s="205"/>
      <c r="C442" s="205"/>
      <c r="D442" s="216"/>
      <c r="E442" s="216"/>
      <c r="F442" s="205"/>
      <c r="G442" s="205"/>
      <c r="H442" s="205"/>
    </row>
    <row r="443" spans="1:8" ht="13.2" x14ac:dyDescent="0.25">
      <c r="A443" s="205"/>
      <c r="B443" s="205"/>
      <c r="C443" s="205"/>
      <c r="D443" s="216"/>
      <c r="E443" s="216"/>
      <c r="F443" s="205"/>
      <c r="G443" s="205"/>
      <c r="H443" s="205"/>
    </row>
    <row r="444" spans="1:8" ht="13.2" x14ac:dyDescent="0.25">
      <c r="A444" s="205"/>
      <c r="B444" s="205"/>
      <c r="C444" s="205"/>
      <c r="D444" s="216"/>
      <c r="E444" s="216"/>
      <c r="F444" s="205"/>
      <c r="G444" s="205"/>
      <c r="H444" s="205"/>
    </row>
    <row r="445" spans="1:8" ht="13.2" x14ac:dyDescent="0.25">
      <c r="A445" s="205"/>
      <c r="B445" s="205"/>
      <c r="C445" s="205"/>
      <c r="D445" s="216"/>
      <c r="E445" s="216"/>
      <c r="F445" s="205"/>
      <c r="G445" s="205"/>
      <c r="H445" s="205"/>
    </row>
    <row r="446" spans="1:8" ht="13.2" x14ac:dyDescent="0.25">
      <c r="A446" s="205"/>
      <c r="B446" s="205"/>
      <c r="C446" s="206"/>
      <c r="D446" s="216"/>
      <c r="E446" s="216"/>
      <c r="F446" s="205"/>
      <c r="G446" s="205"/>
      <c r="H446" s="205"/>
    </row>
    <row r="447" spans="1:8" ht="13.2" x14ac:dyDescent="0.25">
      <c r="A447" s="205"/>
      <c r="B447" s="205"/>
      <c r="C447" s="206"/>
      <c r="D447" s="216"/>
      <c r="E447" s="216"/>
      <c r="F447" s="205"/>
      <c r="G447" s="205"/>
      <c r="H447" s="205"/>
    </row>
    <row r="448" spans="1:8" ht="13.2" x14ac:dyDescent="0.25">
      <c r="A448" s="205"/>
      <c r="B448" s="205"/>
      <c r="C448" s="206"/>
      <c r="D448" s="216"/>
      <c r="E448" s="216"/>
      <c r="F448" s="205"/>
      <c r="G448" s="205"/>
      <c r="H448" s="205"/>
    </row>
    <row r="449" spans="1:8" ht="13.2" x14ac:dyDescent="0.25">
      <c r="A449" s="205"/>
      <c r="B449" s="205"/>
      <c r="C449" s="206"/>
      <c r="D449" s="216"/>
      <c r="E449" s="216"/>
      <c r="F449" s="205"/>
      <c r="G449" s="205"/>
      <c r="H449" s="205"/>
    </row>
    <row r="450" spans="1:8" ht="13.2" x14ac:dyDescent="0.25">
      <c r="A450" s="205"/>
      <c r="B450" s="205"/>
      <c r="C450" s="206"/>
      <c r="D450" s="216"/>
      <c r="E450" s="216"/>
      <c r="F450" s="205"/>
      <c r="G450" s="205"/>
      <c r="H450" s="205"/>
    </row>
    <row r="451" spans="1:8" ht="13.2" x14ac:dyDescent="0.25">
      <c r="A451" s="205"/>
      <c r="B451" s="205"/>
      <c r="C451" s="206"/>
      <c r="D451" s="216"/>
      <c r="E451" s="216"/>
      <c r="F451" s="205"/>
      <c r="G451" s="205"/>
      <c r="H451" s="205"/>
    </row>
    <row r="452" spans="1:8" ht="13.2" x14ac:dyDescent="0.25">
      <c r="A452" s="205"/>
      <c r="B452" s="205"/>
      <c r="C452" s="206"/>
      <c r="D452" s="216"/>
      <c r="E452" s="216"/>
      <c r="F452" s="205"/>
      <c r="G452" s="205"/>
      <c r="H452" s="205"/>
    </row>
    <row r="453" spans="1:8" ht="13.2" x14ac:dyDescent="0.25">
      <c r="A453" s="205"/>
      <c r="B453" s="205"/>
      <c r="C453" s="206"/>
      <c r="D453" s="216"/>
      <c r="E453" s="216"/>
      <c r="F453" s="205"/>
      <c r="G453" s="205"/>
      <c r="H453" s="205"/>
    </row>
    <row r="454" spans="1:8" ht="13.2" x14ac:dyDescent="0.25">
      <c r="A454" s="205"/>
      <c r="B454" s="205"/>
      <c r="C454" s="206"/>
      <c r="D454" s="216"/>
      <c r="E454" s="216"/>
      <c r="F454" s="205"/>
      <c r="G454" s="205"/>
      <c r="H454" s="205"/>
    </row>
    <row r="455" spans="1:8" ht="13.2" x14ac:dyDescent="0.25">
      <c r="A455" s="205"/>
      <c r="B455" s="205"/>
      <c r="C455" s="206"/>
      <c r="D455" s="216"/>
      <c r="E455" s="216"/>
      <c r="F455" s="205"/>
      <c r="G455" s="205"/>
      <c r="H455" s="205"/>
    </row>
    <row r="456" spans="1:8" ht="13.2" x14ac:dyDescent="0.25">
      <c r="A456" s="205"/>
      <c r="B456" s="205"/>
      <c r="C456" s="206"/>
      <c r="D456" s="216"/>
      <c r="E456" s="216"/>
      <c r="F456" s="205"/>
      <c r="G456" s="205"/>
      <c r="H456" s="205"/>
    </row>
    <row r="457" spans="1:8" ht="13.2" x14ac:dyDescent="0.25">
      <c r="A457" s="205"/>
      <c r="B457" s="205"/>
      <c r="C457" s="206"/>
      <c r="D457" s="216"/>
      <c r="E457" s="216"/>
      <c r="F457" s="205"/>
      <c r="G457" s="205"/>
      <c r="H457" s="205"/>
    </row>
    <row r="458" spans="1:8" ht="13.2" x14ac:dyDescent="0.25">
      <c r="A458" s="205"/>
      <c r="B458" s="205"/>
      <c r="C458" s="206"/>
      <c r="D458" s="216"/>
      <c r="E458" s="216"/>
      <c r="F458" s="205"/>
      <c r="G458" s="205"/>
      <c r="H458" s="205"/>
    </row>
    <row r="459" spans="1:8" ht="13.2" x14ac:dyDescent="0.25">
      <c r="A459" s="205"/>
      <c r="B459" s="205"/>
      <c r="C459" s="206"/>
      <c r="D459" s="216"/>
      <c r="E459" s="216"/>
      <c r="F459" s="205"/>
      <c r="G459" s="205"/>
      <c r="H459" s="205"/>
    </row>
    <row r="460" spans="1:8" ht="13.2" x14ac:dyDescent="0.25">
      <c r="A460" s="205"/>
      <c r="B460" s="205"/>
      <c r="C460" s="206"/>
      <c r="D460" s="216"/>
      <c r="E460" s="216"/>
      <c r="F460" s="205"/>
      <c r="G460" s="205"/>
      <c r="H460" s="205"/>
    </row>
    <row r="461" spans="1:8" ht="13.2" x14ac:dyDescent="0.25">
      <c r="A461" s="205"/>
      <c r="B461" s="205"/>
      <c r="C461" s="206"/>
      <c r="D461" s="216"/>
      <c r="E461" s="216"/>
      <c r="F461" s="205"/>
      <c r="G461" s="205"/>
      <c r="H461" s="205"/>
    </row>
    <row r="462" spans="1:8" ht="13.2" x14ac:dyDescent="0.25">
      <c r="A462" s="205"/>
      <c r="B462" s="205"/>
      <c r="C462" s="206"/>
      <c r="D462" s="216"/>
      <c r="E462" s="216"/>
      <c r="F462" s="205"/>
      <c r="G462" s="205"/>
      <c r="H462" s="205"/>
    </row>
    <row r="463" spans="1:8" ht="13.2" x14ac:dyDescent="0.25">
      <c r="A463" s="205"/>
      <c r="B463" s="205"/>
      <c r="C463" s="206"/>
      <c r="D463" s="216"/>
      <c r="E463" s="216"/>
      <c r="F463" s="205"/>
      <c r="G463" s="205"/>
      <c r="H463" s="205"/>
    </row>
    <row r="464" spans="1:8" ht="13.2" x14ac:dyDescent="0.25">
      <c r="A464" s="205"/>
      <c r="B464" s="205"/>
      <c r="C464" s="206"/>
      <c r="D464" s="216"/>
      <c r="E464" s="216"/>
      <c r="F464" s="205"/>
      <c r="G464" s="205"/>
      <c r="H464" s="205"/>
    </row>
    <row r="465" spans="1:8" ht="13.2" x14ac:dyDescent="0.25">
      <c r="A465" s="205"/>
      <c r="B465" s="205"/>
      <c r="C465" s="206"/>
      <c r="D465" s="216"/>
      <c r="E465" s="216"/>
      <c r="F465" s="205"/>
      <c r="G465" s="205"/>
      <c r="H465" s="205"/>
    </row>
    <row r="466" spans="1:8" ht="13.2" x14ac:dyDescent="0.25">
      <c r="A466" s="205"/>
      <c r="B466" s="205"/>
      <c r="C466" s="206"/>
      <c r="D466" s="216"/>
      <c r="E466" s="216"/>
      <c r="F466" s="205"/>
      <c r="G466" s="205"/>
      <c r="H466" s="205"/>
    </row>
    <row r="467" spans="1:8" ht="13.2" x14ac:dyDescent="0.25">
      <c r="A467" s="205"/>
      <c r="B467" s="205"/>
      <c r="C467" s="206"/>
      <c r="D467" s="216"/>
      <c r="E467" s="216"/>
      <c r="F467" s="205"/>
      <c r="G467" s="205"/>
      <c r="H467" s="205"/>
    </row>
    <row r="468" spans="1:8" ht="13.2" x14ac:dyDescent="0.25">
      <c r="C468" s="145"/>
    </row>
    <row r="469" spans="1:8" ht="13.2" x14ac:dyDescent="0.25">
      <c r="C469" s="145"/>
    </row>
    <row r="470" spans="1:8" ht="13.2" x14ac:dyDescent="0.25">
      <c r="C470" s="145"/>
    </row>
    <row r="471" spans="1:8" ht="13.2" x14ac:dyDescent="0.25">
      <c r="C471" s="145"/>
    </row>
    <row r="472" spans="1:8" ht="13.2" x14ac:dyDescent="0.25">
      <c r="C472" s="145"/>
    </row>
    <row r="473" spans="1:8" ht="13.2" x14ac:dyDescent="0.25">
      <c r="C473" s="145"/>
    </row>
    <row r="474" spans="1:8" ht="13.2" x14ac:dyDescent="0.25">
      <c r="C474" s="145"/>
    </row>
    <row r="475" spans="1:8" ht="13.2" x14ac:dyDescent="0.25">
      <c r="C475" s="145"/>
    </row>
    <row r="476" spans="1:8" ht="13.2" x14ac:dyDescent="0.25">
      <c r="C476" s="145"/>
    </row>
    <row r="477" spans="1:8" ht="13.2" x14ac:dyDescent="0.25">
      <c r="C477" s="145"/>
    </row>
    <row r="478" spans="1:8" ht="13.2" x14ac:dyDescent="0.25">
      <c r="C478" s="145"/>
    </row>
    <row r="479" spans="1:8" ht="13.2" x14ac:dyDescent="0.25">
      <c r="C479" s="145"/>
    </row>
    <row r="480" spans="1:8" ht="13.2" x14ac:dyDescent="0.25">
      <c r="C480" s="145"/>
    </row>
    <row r="481" spans="3:3" ht="13.2" x14ac:dyDescent="0.25">
      <c r="C481" s="145"/>
    </row>
    <row r="482" spans="3:3" ht="13.2" x14ac:dyDescent="0.25">
      <c r="C482" s="145"/>
    </row>
    <row r="483" spans="3:3" ht="13.2" x14ac:dyDescent="0.25">
      <c r="C483" s="145"/>
    </row>
    <row r="484" spans="3:3" ht="13.2" x14ac:dyDescent="0.25">
      <c r="C484" s="145"/>
    </row>
    <row r="485" spans="3:3" ht="13.2" x14ac:dyDescent="0.25">
      <c r="C485" s="145"/>
    </row>
    <row r="486" spans="3:3" ht="13.2" x14ac:dyDescent="0.25">
      <c r="C486" s="145"/>
    </row>
    <row r="487" spans="3:3" ht="13.2" x14ac:dyDescent="0.25">
      <c r="C487" s="145"/>
    </row>
    <row r="488" spans="3:3" ht="13.2" x14ac:dyDescent="0.25">
      <c r="C488" s="145"/>
    </row>
    <row r="489" spans="3:3" ht="13.2" x14ac:dyDescent="0.25">
      <c r="C489" s="145"/>
    </row>
    <row r="490" spans="3:3" ht="13.2" x14ac:dyDescent="0.25">
      <c r="C490" s="145"/>
    </row>
    <row r="491" spans="3:3" ht="13.2" x14ac:dyDescent="0.25">
      <c r="C491" s="145"/>
    </row>
    <row r="492" spans="3:3" ht="13.2" x14ac:dyDescent="0.25">
      <c r="C492" s="145"/>
    </row>
    <row r="493" spans="3:3" ht="13.2" x14ac:dyDescent="0.25">
      <c r="C493" s="145"/>
    </row>
    <row r="494" spans="3:3" ht="13.2" x14ac:dyDescent="0.25">
      <c r="C494" s="145"/>
    </row>
    <row r="495" spans="3:3" ht="13.2" x14ac:dyDescent="0.25">
      <c r="C495" s="145"/>
    </row>
    <row r="496" spans="3:3" ht="13.2" x14ac:dyDescent="0.25">
      <c r="C496" s="145"/>
    </row>
    <row r="497" spans="3:3" ht="13.2" x14ac:dyDescent="0.25">
      <c r="C497" s="145"/>
    </row>
    <row r="498" spans="3:3" ht="13.2" x14ac:dyDescent="0.25">
      <c r="C498" s="145"/>
    </row>
    <row r="499" spans="3:3" ht="13.2" x14ac:dyDescent="0.25">
      <c r="C499" s="145"/>
    </row>
    <row r="500" spans="3:3" ht="13.2" x14ac:dyDescent="0.25">
      <c r="C500" s="145"/>
    </row>
    <row r="501" spans="3:3" ht="13.2" x14ac:dyDescent="0.25">
      <c r="C501" s="145"/>
    </row>
    <row r="502" spans="3:3" ht="13.2" x14ac:dyDescent="0.25">
      <c r="C502" s="145"/>
    </row>
    <row r="503" spans="3:3" ht="13.2" x14ac:dyDescent="0.25">
      <c r="C503" s="145"/>
    </row>
    <row r="504" spans="3:3" ht="13.2" x14ac:dyDescent="0.25">
      <c r="C504" s="145"/>
    </row>
    <row r="505" spans="3:3" ht="13.2" x14ac:dyDescent="0.25">
      <c r="C505" s="145"/>
    </row>
    <row r="506" spans="3:3" ht="13.2" x14ac:dyDescent="0.25">
      <c r="C506" s="145"/>
    </row>
    <row r="507" spans="3:3" ht="13.2" x14ac:dyDescent="0.25">
      <c r="C507" s="145"/>
    </row>
    <row r="508" spans="3:3" ht="13.2" x14ac:dyDescent="0.25">
      <c r="C508" s="145"/>
    </row>
    <row r="509" spans="3:3" ht="13.2" x14ac:dyDescent="0.25">
      <c r="C509" s="145"/>
    </row>
    <row r="510" spans="3:3" ht="13.2" x14ac:dyDescent="0.25">
      <c r="C510" s="145"/>
    </row>
    <row r="511" spans="3:3" ht="13.2" x14ac:dyDescent="0.25">
      <c r="C511" s="145"/>
    </row>
    <row r="512" spans="3:3" ht="13.2" x14ac:dyDescent="0.25">
      <c r="C512" s="145"/>
    </row>
    <row r="513" spans="3:3" ht="13.2" x14ac:dyDescent="0.25">
      <c r="C513" s="145"/>
    </row>
    <row r="514" spans="3:3" ht="13.2" x14ac:dyDescent="0.25">
      <c r="C514" s="145"/>
    </row>
    <row r="515" spans="3:3" ht="13.2" x14ac:dyDescent="0.25">
      <c r="C515" s="145"/>
    </row>
    <row r="516" spans="3:3" ht="13.2" x14ac:dyDescent="0.25">
      <c r="C516" s="145"/>
    </row>
    <row r="517" spans="3:3" ht="13.2" x14ac:dyDescent="0.25">
      <c r="C517" s="145"/>
    </row>
    <row r="518" spans="3:3" ht="13.2" x14ac:dyDescent="0.25">
      <c r="C518" s="145"/>
    </row>
    <row r="519" spans="3:3" ht="13.2" x14ac:dyDescent="0.25">
      <c r="C519" s="145"/>
    </row>
    <row r="520" spans="3:3" ht="13.2" x14ac:dyDescent="0.25">
      <c r="C520" s="145"/>
    </row>
    <row r="521" spans="3:3" ht="13.2" x14ac:dyDescent="0.25">
      <c r="C521" s="145"/>
    </row>
    <row r="522" spans="3:3" ht="13.2" x14ac:dyDescent="0.25">
      <c r="C522" s="145"/>
    </row>
    <row r="523" spans="3:3" ht="13.2" x14ac:dyDescent="0.25">
      <c r="C523" s="145"/>
    </row>
    <row r="524" spans="3:3" ht="13.2" x14ac:dyDescent="0.25">
      <c r="C524" s="145"/>
    </row>
    <row r="525" spans="3:3" ht="13.2" x14ac:dyDescent="0.25">
      <c r="C525" s="145"/>
    </row>
    <row r="526" spans="3:3" ht="13.2" x14ac:dyDescent="0.25">
      <c r="C526" s="145"/>
    </row>
    <row r="527" spans="3:3" ht="13.2" x14ac:dyDescent="0.25">
      <c r="C527" s="145"/>
    </row>
    <row r="528" spans="3:3" ht="13.2" x14ac:dyDescent="0.25">
      <c r="C528" s="145"/>
    </row>
    <row r="529" spans="3:3" ht="13.2" x14ac:dyDescent="0.25">
      <c r="C529" s="145"/>
    </row>
    <row r="530" spans="3:3" ht="13.2" x14ac:dyDescent="0.25">
      <c r="C530" s="145"/>
    </row>
    <row r="531" spans="3:3" ht="13.2" x14ac:dyDescent="0.25">
      <c r="C531" s="145"/>
    </row>
    <row r="532" spans="3:3" ht="13.2" x14ac:dyDescent="0.25">
      <c r="C532" s="145"/>
    </row>
    <row r="533" spans="3:3" ht="13.2" x14ac:dyDescent="0.25">
      <c r="C533" s="145"/>
    </row>
    <row r="534" spans="3:3" ht="13.2" x14ac:dyDescent="0.25">
      <c r="C534" s="145"/>
    </row>
    <row r="535" spans="3:3" ht="13.2" x14ac:dyDescent="0.25">
      <c r="C535" s="145"/>
    </row>
    <row r="536" spans="3:3" ht="13.2" x14ac:dyDescent="0.25">
      <c r="C536" s="145"/>
    </row>
    <row r="537" spans="3:3" ht="13.2" x14ac:dyDescent="0.25">
      <c r="C537" s="145"/>
    </row>
    <row r="538" spans="3:3" ht="13.2" x14ac:dyDescent="0.25">
      <c r="C538" s="145"/>
    </row>
    <row r="539" spans="3:3" ht="13.2" x14ac:dyDescent="0.25">
      <c r="C539" s="145"/>
    </row>
    <row r="540" spans="3:3" ht="13.2" x14ac:dyDescent="0.25">
      <c r="C540" s="145"/>
    </row>
    <row r="541" spans="3:3" ht="13.2" x14ac:dyDescent="0.25">
      <c r="C541" s="145"/>
    </row>
    <row r="542" spans="3:3" ht="13.2" x14ac:dyDescent="0.25">
      <c r="C542" s="145"/>
    </row>
    <row r="543" spans="3:3" ht="13.2" x14ac:dyDescent="0.25">
      <c r="C543" s="145"/>
    </row>
    <row r="544" spans="3:3" ht="13.2" x14ac:dyDescent="0.25">
      <c r="C544" s="145"/>
    </row>
    <row r="545" spans="3:3" ht="13.2" x14ac:dyDescent="0.25">
      <c r="C545" s="145"/>
    </row>
    <row r="546" spans="3:3" ht="13.2" x14ac:dyDescent="0.25">
      <c r="C546" s="145"/>
    </row>
    <row r="547" spans="3:3" ht="13.2" x14ac:dyDescent="0.25">
      <c r="C547" s="145"/>
    </row>
    <row r="548" spans="3:3" ht="13.2" x14ac:dyDescent="0.25">
      <c r="C548" s="145"/>
    </row>
    <row r="549" spans="3:3" ht="13.2" x14ac:dyDescent="0.25">
      <c r="C549" s="145"/>
    </row>
    <row r="550" spans="3:3" ht="13.2" x14ac:dyDescent="0.25">
      <c r="C550" s="145"/>
    </row>
    <row r="551" spans="3:3" ht="13.2" x14ac:dyDescent="0.25">
      <c r="C551" s="145"/>
    </row>
    <row r="552" spans="3:3" ht="13.2" x14ac:dyDescent="0.25">
      <c r="C552" s="145"/>
    </row>
    <row r="553" spans="3:3" ht="13.2" x14ac:dyDescent="0.25">
      <c r="C553" s="145"/>
    </row>
    <row r="554" spans="3:3" ht="13.2" x14ac:dyDescent="0.25">
      <c r="C554" s="145"/>
    </row>
    <row r="555" spans="3:3" ht="13.2" x14ac:dyDescent="0.25">
      <c r="C555" s="145"/>
    </row>
    <row r="556" spans="3:3" ht="13.2" x14ac:dyDescent="0.25">
      <c r="C556" s="145"/>
    </row>
    <row r="557" spans="3:3" ht="13.2" x14ac:dyDescent="0.25">
      <c r="C557" s="145"/>
    </row>
    <row r="558" spans="3:3" ht="13.2" x14ac:dyDescent="0.25">
      <c r="C558" s="145"/>
    </row>
    <row r="559" spans="3:3" ht="13.2" x14ac:dyDescent="0.25">
      <c r="C559" s="145"/>
    </row>
    <row r="560" spans="3:3" ht="13.2" x14ac:dyDescent="0.25">
      <c r="C560" s="145"/>
    </row>
    <row r="561" spans="3:3" ht="13.2" x14ac:dyDescent="0.25">
      <c r="C561" s="145"/>
    </row>
    <row r="562" spans="3:3" ht="13.2" x14ac:dyDescent="0.25">
      <c r="C562" s="145"/>
    </row>
    <row r="563" spans="3:3" ht="13.2" x14ac:dyDescent="0.25">
      <c r="C563" s="145"/>
    </row>
    <row r="564" spans="3:3" ht="13.2" x14ac:dyDescent="0.25">
      <c r="C564" s="145"/>
    </row>
    <row r="565" spans="3:3" ht="13.2" x14ac:dyDescent="0.25">
      <c r="C565" s="145"/>
    </row>
    <row r="566" spans="3:3" ht="13.2" x14ac:dyDescent="0.25">
      <c r="C566" s="145"/>
    </row>
    <row r="567" spans="3:3" ht="13.2" x14ac:dyDescent="0.25">
      <c r="C567" s="145"/>
    </row>
    <row r="568" spans="3:3" ht="13.2" x14ac:dyDescent="0.25">
      <c r="C568" s="145"/>
    </row>
    <row r="569" spans="3:3" ht="13.2" x14ac:dyDescent="0.25">
      <c r="C569" s="145"/>
    </row>
    <row r="570" spans="3:3" ht="13.2" x14ac:dyDescent="0.25">
      <c r="C570" s="145"/>
    </row>
    <row r="571" spans="3:3" ht="13.2" x14ac:dyDescent="0.25">
      <c r="C571" s="145"/>
    </row>
    <row r="572" spans="3:3" ht="13.2" x14ac:dyDescent="0.25">
      <c r="C572" s="145"/>
    </row>
    <row r="573" spans="3:3" ht="13.2" x14ac:dyDescent="0.25">
      <c r="C573" s="145"/>
    </row>
    <row r="574" spans="3:3" ht="13.2" x14ac:dyDescent="0.25">
      <c r="C574" s="145"/>
    </row>
    <row r="575" spans="3:3" ht="13.2" x14ac:dyDescent="0.25">
      <c r="C575" s="145"/>
    </row>
    <row r="576" spans="3:3" ht="13.2" x14ac:dyDescent="0.25">
      <c r="C576" s="145"/>
    </row>
    <row r="577" spans="3:3" ht="13.2" x14ac:dyDescent="0.25">
      <c r="C577" s="145"/>
    </row>
    <row r="578" spans="3:3" ht="13.2" x14ac:dyDescent="0.25">
      <c r="C578" s="145"/>
    </row>
    <row r="579" spans="3:3" ht="13.2" x14ac:dyDescent="0.25">
      <c r="C579" s="145"/>
    </row>
    <row r="580" spans="3:3" ht="13.2" x14ac:dyDescent="0.25">
      <c r="C580" s="145"/>
    </row>
    <row r="581" spans="3:3" ht="13.2" x14ac:dyDescent="0.25">
      <c r="C581" s="145"/>
    </row>
    <row r="582" spans="3:3" ht="13.2" x14ac:dyDescent="0.25">
      <c r="C582" s="145"/>
    </row>
    <row r="583" spans="3:3" ht="13.2" x14ac:dyDescent="0.25">
      <c r="C583" s="145"/>
    </row>
    <row r="584" spans="3:3" ht="13.2" x14ac:dyDescent="0.25">
      <c r="C584" s="145"/>
    </row>
    <row r="585" spans="3:3" ht="13.2" x14ac:dyDescent="0.25">
      <c r="C585" s="145"/>
    </row>
    <row r="586" spans="3:3" ht="13.2" x14ac:dyDescent="0.25">
      <c r="C586" s="145"/>
    </row>
    <row r="587" spans="3:3" ht="13.2" x14ac:dyDescent="0.25">
      <c r="C587" s="145"/>
    </row>
    <row r="588" spans="3:3" ht="13.2" x14ac:dyDescent="0.25">
      <c r="C588" s="145"/>
    </row>
    <row r="589" spans="3:3" ht="13.2" x14ac:dyDescent="0.25">
      <c r="C589" s="145"/>
    </row>
    <row r="590" spans="3:3" ht="13.2" x14ac:dyDescent="0.25">
      <c r="C590" s="145"/>
    </row>
    <row r="591" spans="3:3" ht="13.2" x14ac:dyDescent="0.25">
      <c r="C591" s="145"/>
    </row>
    <row r="592" spans="3:3" ht="13.2" x14ac:dyDescent="0.25">
      <c r="C592" s="145"/>
    </row>
    <row r="593" spans="3:3" ht="13.2" x14ac:dyDescent="0.25">
      <c r="C593" s="145"/>
    </row>
    <row r="594" spans="3:3" ht="13.2" x14ac:dyDescent="0.25">
      <c r="C594" s="145"/>
    </row>
    <row r="595" spans="3:3" ht="13.2" x14ac:dyDescent="0.25">
      <c r="C595" s="145"/>
    </row>
    <row r="596" spans="3:3" ht="13.2" x14ac:dyDescent="0.25">
      <c r="C596" s="145"/>
    </row>
    <row r="597" spans="3:3" ht="13.2" x14ac:dyDescent="0.25">
      <c r="C597" s="145"/>
    </row>
    <row r="598" spans="3:3" ht="13.2" x14ac:dyDescent="0.25">
      <c r="C598" s="145"/>
    </row>
    <row r="599" spans="3:3" ht="13.2" x14ac:dyDescent="0.25">
      <c r="C599" s="145"/>
    </row>
    <row r="600" spans="3:3" ht="13.2" x14ac:dyDescent="0.25">
      <c r="C600" s="145"/>
    </row>
    <row r="601" spans="3:3" ht="13.2" x14ac:dyDescent="0.25">
      <c r="C601" s="145"/>
    </row>
    <row r="602" spans="3:3" ht="13.2" x14ac:dyDescent="0.25">
      <c r="C602" s="145"/>
    </row>
    <row r="603" spans="3:3" ht="13.2" x14ac:dyDescent="0.25">
      <c r="C603" s="145"/>
    </row>
    <row r="604" spans="3:3" ht="13.2" x14ac:dyDescent="0.25">
      <c r="C604" s="145"/>
    </row>
    <row r="605" spans="3:3" ht="13.2" x14ac:dyDescent="0.25">
      <c r="C605" s="145"/>
    </row>
    <row r="606" spans="3:3" ht="13.2" x14ac:dyDescent="0.25">
      <c r="C606" s="145"/>
    </row>
    <row r="607" spans="3:3" ht="13.2" x14ac:dyDescent="0.25">
      <c r="C607" s="145"/>
    </row>
  </sheetData>
  <sheetProtection algorithmName="SHA-512" hashValue="qQDfwR28uKs6FLDpVXDVWWhNxBNCWiEW0c/EHvNnRh3xg3RhTVCk9oAoD9nozi7o+ettucx6Cv976sQrPwxf7A==" saltValue="7gTSWncBn/dmEkaKKIgZ0A==" spinCount="100000" sheet="1" objects="1" scenarios="1" formatCells="0" formatColumns="0"/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6626-859B-49B6-B50B-46AA27344097}">
  <dimension ref="A1:P22"/>
  <sheetViews>
    <sheetView showGridLines="0" zoomScale="115" zoomScaleNormal="115" workbookViewId="0">
      <selection activeCell="E4" sqref="E4"/>
    </sheetView>
  </sheetViews>
  <sheetFormatPr defaultColWidth="0" defaultRowHeight="12.75" customHeight="1" zeroHeight="1" x14ac:dyDescent="0.25"/>
  <cols>
    <col min="1" max="1" width="10.33203125" style="201" customWidth="1"/>
    <col min="2" max="2" width="22.5546875" style="201" customWidth="1"/>
    <col min="3" max="13" width="13.33203125" style="201" customWidth="1"/>
    <col min="14" max="14" width="10.33203125" style="201" customWidth="1"/>
    <col min="15" max="16" width="8.88671875" style="142" customWidth="1"/>
    <col min="17" max="16384" width="9.33203125" style="142" hidden="1"/>
  </cols>
  <sheetData>
    <row r="1" spans="1:14" ht="13.2" x14ac:dyDescent="0.2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35.25" customHeight="1" x14ac:dyDescent="0.25">
      <c r="A2" s="202"/>
      <c r="B2" s="319"/>
      <c r="C2" s="392" t="s">
        <v>241</v>
      </c>
      <c r="D2" s="393"/>
      <c r="E2" s="394"/>
      <c r="F2" s="395"/>
      <c r="G2" s="395"/>
      <c r="H2" s="395"/>
      <c r="I2" s="395"/>
      <c r="J2" s="395"/>
      <c r="K2" s="395"/>
      <c r="L2" s="395"/>
      <c r="M2" s="395"/>
      <c r="N2" s="202"/>
    </row>
    <row r="3" spans="1:14" ht="13.2" x14ac:dyDescent="0.25">
      <c r="A3" s="202"/>
      <c r="B3" s="319" t="s">
        <v>169</v>
      </c>
      <c r="C3" s="320">
        <v>44377</v>
      </c>
      <c r="D3" s="320">
        <f>DATE(YEAR(C3)+1,6,30)</f>
        <v>44742</v>
      </c>
      <c r="E3" s="320">
        <f t="shared" ref="E3:M3" si="0">DATE(YEAR(D3)+1,6,30)</f>
        <v>45107</v>
      </c>
      <c r="F3" s="320">
        <f t="shared" si="0"/>
        <v>45473</v>
      </c>
      <c r="G3" s="320">
        <f t="shared" si="0"/>
        <v>45838</v>
      </c>
      <c r="H3" s="320">
        <f t="shared" si="0"/>
        <v>46203</v>
      </c>
      <c r="I3" s="320">
        <f t="shared" si="0"/>
        <v>46568</v>
      </c>
      <c r="J3" s="320">
        <f t="shared" si="0"/>
        <v>46934</v>
      </c>
      <c r="K3" s="320">
        <f t="shared" si="0"/>
        <v>47299</v>
      </c>
      <c r="L3" s="320">
        <f t="shared" si="0"/>
        <v>47664</v>
      </c>
      <c r="M3" s="320">
        <f t="shared" si="0"/>
        <v>48029</v>
      </c>
      <c r="N3" s="202"/>
    </row>
    <row r="4" spans="1:14" ht="13.2" x14ac:dyDescent="0.25">
      <c r="A4" s="202"/>
      <c r="B4" s="319" t="s">
        <v>65</v>
      </c>
      <c r="C4" s="321">
        <v>2.2499999999999999E-2</v>
      </c>
      <c r="D4" s="321">
        <v>1.2500000000000001E-2</v>
      </c>
      <c r="E4" s="321">
        <f>((1.5+2.5)/2)/100</f>
        <v>0.02</v>
      </c>
      <c r="F4" s="321">
        <v>2.5000000000000001E-2</v>
      </c>
      <c r="G4" s="321">
        <v>2.5000000000000001E-2</v>
      </c>
      <c r="H4" s="321">
        <v>2.5000000000000001E-2</v>
      </c>
      <c r="I4" s="321">
        <v>2.5000000000000001E-2</v>
      </c>
      <c r="J4" s="321">
        <v>2.5000000000000001E-2</v>
      </c>
      <c r="K4" s="321">
        <v>2.5000000000000001E-2</v>
      </c>
      <c r="L4" s="321">
        <v>2.5000000000000001E-2</v>
      </c>
      <c r="M4" s="321">
        <v>2.5000000000000001E-2</v>
      </c>
      <c r="N4" s="202"/>
    </row>
    <row r="5" spans="1:14" ht="13.2" x14ac:dyDescent="0.25">
      <c r="A5" s="202"/>
      <c r="B5" s="319" t="s">
        <v>170</v>
      </c>
      <c r="C5" s="322">
        <f>1+C4</f>
        <v>1.0225</v>
      </c>
      <c r="D5" s="322">
        <f>1+D4</f>
        <v>1.0125</v>
      </c>
      <c r="E5" s="322">
        <f>1+E4</f>
        <v>1.02</v>
      </c>
      <c r="F5" s="322">
        <f t="shared" ref="F5:M5" si="1">1+F4</f>
        <v>1.0249999999999999</v>
      </c>
      <c r="G5" s="322">
        <f t="shared" si="1"/>
        <v>1.0249999999999999</v>
      </c>
      <c r="H5" s="322">
        <f t="shared" si="1"/>
        <v>1.0249999999999999</v>
      </c>
      <c r="I5" s="322">
        <f t="shared" si="1"/>
        <v>1.0249999999999999</v>
      </c>
      <c r="J5" s="322">
        <f t="shared" si="1"/>
        <v>1.0249999999999999</v>
      </c>
      <c r="K5" s="322">
        <f t="shared" si="1"/>
        <v>1.0249999999999999</v>
      </c>
      <c r="L5" s="322">
        <f>1+L4</f>
        <v>1.0249999999999999</v>
      </c>
      <c r="M5" s="322">
        <f t="shared" si="1"/>
        <v>1.0249999999999999</v>
      </c>
      <c r="N5" s="202"/>
    </row>
    <row r="6" spans="1:14" ht="13.8" thickBot="1" x14ac:dyDescent="0.3">
      <c r="A6" s="202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02"/>
    </row>
    <row r="7" spans="1:14" ht="13.8" thickBot="1" x14ac:dyDescent="0.3">
      <c r="A7" s="202"/>
      <c r="B7" s="323" t="s">
        <v>171</v>
      </c>
      <c r="C7" s="324">
        <f>PRODUCT(C5:M5)^(1/COUNTA(C5:M5))-1</f>
        <v>2.3175068905108898E-2</v>
      </c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02"/>
    </row>
    <row r="8" spans="1:14" ht="13.2" x14ac:dyDescent="0.25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</row>
    <row r="9" spans="1:14" ht="13.2" x14ac:dyDescent="0.25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ht="13.2" x14ac:dyDescent="0.25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ht="12.75" customHeight="1" x14ac:dyDescent="0.25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ht="12.75" customHeight="1" x14ac:dyDescent="0.25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12.75" customHeight="1" x14ac:dyDescent="0.25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2.75" customHeight="1" x14ac:dyDescent="0.25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ht="12.75" customHeight="1" x14ac:dyDescent="0.25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12.75" customHeight="1" x14ac:dyDescent="0.25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ht="12.75" hidden="1" customHeight="1" x14ac:dyDescent="0.25"/>
    <row r="18" ht="12.75" hidden="1" customHeight="1" x14ac:dyDescent="0.25"/>
    <row r="19" ht="12.75" hidden="1" customHeight="1" x14ac:dyDescent="0.25"/>
    <row r="20" ht="12.75" hidden="1" customHeight="1" x14ac:dyDescent="0.25"/>
    <row r="21" ht="12.75" hidden="1" customHeight="1" x14ac:dyDescent="0.25"/>
    <row r="22" ht="12.75" hidden="1" customHeight="1" x14ac:dyDescent="0.25"/>
  </sheetData>
  <sheetProtection algorithmName="SHA-512" hashValue="pH+C99qtgZHekcTZe4/oKQmvpQP7Mgi5/vY4LYKpyzt/VwpxfnPWkbnxxcz6ImAK2aKhDDGfcQyFbClVUEsyeg==" saltValue="K6UkdWZPjsSctGlmeyCXPw==" spinCount="100000" sheet="1" objects="1" scenarios="1" formatCells="0" formatColumns="0"/>
  <mergeCells count="2">
    <mergeCell ref="C2:E2"/>
    <mergeCell ref="F2:M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A2C4-0C55-4D0C-AEBB-73988C8FFD07}">
  <dimension ref="B1:T67"/>
  <sheetViews>
    <sheetView showGridLines="0" topLeftCell="B1" zoomScale="70" zoomScaleNormal="70" workbookViewId="0">
      <selection activeCell="R60" sqref="R60"/>
    </sheetView>
  </sheetViews>
  <sheetFormatPr defaultColWidth="9.33203125" defaultRowHeight="12.75" customHeight="1" zeroHeight="1" x14ac:dyDescent="0.25"/>
  <cols>
    <col min="1" max="2" width="10.33203125" style="143" customWidth="1"/>
    <col min="3" max="3" width="46.6640625" style="143" bestFit="1" customWidth="1"/>
    <col min="4" max="10" width="12.33203125" style="143" bestFit="1" customWidth="1"/>
    <col min="11" max="18" width="17.5546875" style="143" bestFit="1" customWidth="1"/>
    <col min="19" max="19" width="17.33203125" style="143" bestFit="1" customWidth="1"/>
    <col min="20" max="20" width="12.6640625" style="143" customWidth="1"/>
    <col min="21" max="16384" width="9.33203125" style="143"/>
  </cols>
  <sheetData>
    <row r="1" spans="2:20" ht="13.8" thickBot="1" x14ac:dyDescent="0.3"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2:20" ht="17.399999999999999" thickBot="1" x14ac:dyDescent="0.45">
      <c r="B2" s="166"/>
      <c r="C2" s="166"/>
      <c r="D2" s="396" t="s">
        <v>172</v>
      </c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8"/>
      <c r="P2" s="398"/>
      <c r="Q2" s="176"/>
      <c r="R2" s="176"/>
      <c r="S2" s="167"/>
    </row>
    <row r="3" spans="2:20" ht="16.2" thickBot="1" x14ac:dyDescent="0.35">
      <c r="B3" s="166"/>
      <c r="C3" s="166"/>
      <c r="D3" s="174" t="s">
        <v>173</v>
      </c>
      <c r="E3" s="175" t="s">
        <v>174</v>
      </c>
      <c r="F3" s="175" t="s">
        <v>175</v>
      </c>
      <c r="G3" s="175" t="s">
        <v>176</v>
      </c>
      <c r="H3" s="175" t="s">
        <v>177</v>
      </c>
      <c r="I3" s="175" t="s">
        <v>178</v>
      </c>
      <c r="J3" s="175" t="s">
        <v>179</v>
      </c>
      <c r="K3" s="175" t="s">
        <v>180</v>
      </c>
      <c r="L3" s="175" t="s">
        <v>181</v>
      </c>
      <c r="M3" s="175" t="s">
        <v>182</v>
      </c>
      <c r="N3" s="175" t="s">
        <v>183</v>
      </c>
      <c r="O3" s="175" t="s">
        <v>184</v>
      </c>
      <c r="P3" s="175" t="s">
        <v>185</v>
      </c>
      <c r="Q3" s="167" t="s">
        <v>186</v>
      </c>
      <c r="R3" s="167" t="s">
        <v>187</v>
      </c>
      <c r="S3" s="167" t="s">
        <v>188</v>
      </c>
    </row>
    <row r="4" spans="2:20" ht="15" x14ac:dyDescent="0.25">
      <c r="B4" s="166"/>
      <c r="C4" s="168" t="s">
        <v>189</v>
      </c>
      <c r="D4" s="222" t="s">
        <v>190</v>
      </c>
      <c r="E4" s="223" t="s">
        <v>190</v>
      </c>
      <c r="F4" s="223" t="s">
        <v>190</v>
      </c>
      <c r="G4" s="223" t="s">
        <v>190</v>
      </c>
      <c r="H4" s="223" t="s">
        <v>190</v>
      </c>
      <c r="I4" s="223" t="s">
        <v>190</v>
      </c>
      <c r="J4" s="223" t="s">
        <v>190</v>
      </c>
      <c r="K4" s="224">
        <v>829446.75</v>
      </c>
      <c r="L4" s="224">
        <v>878792.83315935335</v>
      </c>
      <c r="M4" s="224">
        <v>865835.57066581445</v>
      </c>
      <c r="N4" s="225">
        <v>834781.53192435787</v>
      </c>
      <c r="O4" s="226">
        <v>810228.53</v>
      </c>
      <c r="P4" s="225">
        <v>846751.15</v>
      </c>
      <c r="Q4" s="227">
        <v>843378.53</v>
      </c>
      <c r="R4" s="227">
        <v>859629.34705460432</v>
      </c>
      <c r="S4" s="227">
        <f>PC!C16</f>
        <v>816437.14351583796</v>
      </c>
      <c r="T4" s="144"/>
    </row>
    <row r="5" spans="2:20" ht="15" x14ac:dyDescent="0.25">
      <c r="B5" s="166"/>
      <c r="C5" s="169" t="s">
        <v>191</v>
      </c>
      <c r="D5" s="228" t="s">
        <v>190</v>
      </c>
      <c r="E5" s="229" t="s">
        <v>190</v>
      </c>
      <c r="F5" s="229" t="s">
        <v>190</v>
      </c>
      <c r="G5" s="229" t="s">
        <v>190</v>
      </c>
      <c r="H5" s="229" t="s">
        <v>190</v>
      </c>
      <c r="I5" s="229" t="s">
        <v>190</v>
      </c>
      <c r="J5" s="229" t="s">
        <v>190</v>
      </c>
      <c r="K5" s="230">
        <v>0.18870000000000001</v>
      </c>
      <c r="L5" s="230">
        <v>0.20100000000000001</v>
      </c>
      <c r="M5" s="230">
        <v>0.19969999999999999</v>
      </c>
      <c r="N5" s="230">
        <v>0.2</v>
      </c>
      <c r="O5" s="230">
        <v>0.1719</v>
      </c>
      <c r="P5" s="230">
        <f>20505237/119805160</f>
        <v>0.17115487346287922</v>
      </c>
      <c r="Q5" s="231">
        <f>21017095/122517100</f>
        <v>0.17154417628233121</v>
      </c>
      <c r="R5" s="231">
        <v>0.17163930368652619</v>
      </c>
      <c r="S5" s="231">
        <f>M!B3</f>
        <v>0.16692402252697833</v>
      </c>
      <c r="T5" s="144"/>
    </row>
    <row r="6" spans="2:20" ht="15" x14ac:dyDescent="0.25">
      <c r="B6" s="166"/>
      <c r="C6" s="169" t="s">
        <v>192</v>
      </c>
      <c r="D6" s="228" t="s">
        <v>190</v>
      </c>
      <c r="E6" s="229" t="s">
        <v>190</v>
      </c>
      <c r="F6" s="229" t="s">
        <v>190</v>
      </c>
      <c r="G6" s="229" t="s">
        <v>190</v>
      </c>
      <c r="H6" s="229" t="s">
        <v>190</v>
      </c>
      <c r="I6" s="229" t="s">
        <v>190</v>
      </c>
      <c r="J6" s="229" t="s">
        <v>190</v>
      </c>
      <c r="K6" s="232">
        <v>159.6</v>
      </c>
      <c r="L6" s="232">
        <v>150.5</v>
      </c>
      <c r="M6" s="232">
        <v>150.5</v>
      </c>
      <c r="N6" s="232">
        <v>150.5</v>
      </c>
      <c r="O6" s="232">
        <v>148.5</v>
      </c>
      <c r="P6" s="232">
        <v>151.4</v>
      </c>
      <c r="Q6" s="233">
        <v>151.4</v>
      </c>
      <c r="R6" s="233">
        <v>152.28</v>
      </c>
      <c r="S6" s="233">
        <f>PC!C4</f>
        <v>152.28</v>
      </c>
      <c r="T6" s="144"/>
    </row>
    <row r="7" spans="2:20" ht="15" x14ac:dyDescent="0.25">
      <c r="B7" s="166"/>
      <c r="C7" s="169" t="s">
        <v>193</v>
      </c>
      <c r="D7" s="228" t="s">
        <v>190</v>
      </c>
      <c r="E7" s="229" t="s">
        <v>190</v>
      </c>
      <c r="F7" s="229" t="s">
        <v>190</v>
      </c>
      <c r="G7" s="229" t="s">
        <v>190</v>
      </c>
      <c r="H7" s="229" t="s">
        <v>190</v>
      </c>
      <c r="I7" s="229" t="s">
        <v>190</v>
      </c>
      <c r="J7" s="229" t="s">
        <v>190</v>
      </c>
      <c r="K7" s="234">
        <v>115124</v>
      </c>
      <c r="L7" s="234">
        <v>141910</v>
      </c>
      <c r="M7" s="234">
        <v>161194</v>
      </c>
      <c r="N7" s="234">
        <v>160280</v>
      </c>
      <c r="O7" s="234">
        <v>175444</v>
      </c>
      <c r="P7" s="234">
        <v>174749</v>
      </c>
      <c r="Q7" s="235">
        <v>179028</v>
      </c>
      <c r="R7" s="235">
        <v>181760</v>
      </c>
      <c r="S7" s="235">
        <f>TC!B11</f>
        <v>180927</v>
      </c>
      <c r="T7" s="144"/>
    </row>
    <row r="8" spans="2:20" ht="15" x14ac:dyDescent="0.25">
      <c r="B8" s="166"/>
      <c r="C8" s="169" t="s">
        <v>194</v>
      </c>
      <c r="D8" s="228" t="s">
        <v>190</v>
      </c>
      <c r="E8" s="229" t="s">
        <v>190</v>
      </c>
      <c r="F8" s="229" t="s">
        <v>190</v>
      </c>
      <c r="G8" s="229" t="s">
        <v>190</v>
      </c>
      <c r="H8" s="229" t="s">
        <v>190</v>
      </c>
      <c r="I8" s="229" t="s">
        <v>190</v>
      </c>
      <c r="J8" s="229" t="s">
        <v>190</v>
      </c>
      <c r="K8" s="234">
        <v>7069232.0800000001</v>
      </c>
      <c r="L8" s="234">
        <v>7206385.6294393875</v>
      </c>
      <c r="M8" s="234">
        <v>7282059.8445658097</v>
      </c>
      <c r="N8" s="234">
        <v>7089948.3877819823</v>
      </c>
      <c r="O8" s="234">
        <v>6803923.6900000004</v>
      </c>
      <c r="P8" s="234">
        <v>6969444.0260220319</v>
      </c>
      <c r="Q8" s="235">
        <v>7109637.8499999996</v>
      </c>
      <c r="R8" s="235">
        <v>7213563.7996095791</v>
      </c>
      <c r="S8" s="235">
        <f>FFC!C18</f>
        <v>6915716.9810821163</v>
      </c>
      <c r="T8" s="144"/>
    </row>
    <row r="9" spans="2:20" ht="15" x14ac:dyDescent="0.25">
      <c r="B9" s="166"/>
      <c r="C9" s="169" t="s">
        <v>195</v>
      </c>
      <c r="D9" s="228" t="s">
        <v>190</v>
      </c>
      <c r="E9" s="229" t="s">
        <v>190</v>
      </c>
      <c r="F9" s="229" t="s">
        <v>190</v>
      </c>
      <c r="G9" s="229" t="s">
        <v>190</v>
      </c>
      <c r="H9" s="229" t="s">
        <v>190</v>
      </c>
      <c r="I9" s="229" t="s">
        <v>190</v>
      </c>
      <c r="J9" s="229" t="s">
        <v>190</v>
      </c>
      <c r="K9" s="234">
        <v>2693872.28</v>
      </c>
      <c r="L9" s="234">
        <v>2733933.1243743291</v>
      </c>
      <c r="M9" s="234">
        <v>2751636.6138530173</v>
      </c>
      <c r="N9" s="234">
        <v>2656498.8122957102</v>
      </c>
      <c r="O9" s="234">
        <v>2430525.5499999998</v>
      </c>
      <c r="P9" s="234">
        <v>2394087.9383231248</v>
      </c>
      <c r="Q9" s="235">
        <v>2295990.5299999998</v>
      </c>
      <c r="R9" s="235">
        <v>2536249.7758095991</v>
      </c>
      <c r="S9" s="235">
        <f>LC!E22</f>
        <v>2404251.1503018662</v>
      </c>
      <c r="T9" s="144"/>
    </row>
    <row r="10" spans="2:20" ht="15" x14ac:dyDescent="0.25">
      <c r="B10" s="166"/>
      <c r="C10" s="169" t="s">
        <v>196</v>
      </c>
      <c r="D10" s="228" t="s">
        <v>190</v>
      </c>
      <c r="E10" s="229" t="s">
        <v>190</v>
      </c>
      <c r="F10" s="229" t="s">
        <v>190</v>
      </c>
      <c r="G10" s="229" t="s">
        <v>190</v>
      </c>
      <c r="H10" s="229" t="s">
        <v>190</v>
      </c>
      <c r="I10" s="229" t="s">
        <v>190</v>
      </c>
      <c r="J10" s="229" t="s">
        <v>190</v>
      </c>
      <c r="K10" s="234">
        <v>34238.67</v>
      </c>
      <c r="L10" s="234">
        <v>33238.008880602021</v>
      </c>
      <c r="M10" s="234">
        <v>32307.016765742781</v>
      </c>
      <c r="N10" s="234">
        <v>32581.684018372114</v>
      </c>
      <c r="O10" s="234">
        <v>30143.200000000001</v>
      </c>
      <c r="P10" s="234">
        <v>30437</v>
      </c>
      <c r="Q10" s="236">
        <v>29776.44</v>
      </c>
      <c r="R10" s="236">
        <v>31168.014527213316</v>
      </c>
      <c r="S10" s="236">
        <f>'ANNUALISED_FIXED_O&amp;M'!C149</f>
        <v>32027.658870725267</v>
      </c>
    </row>
    <row r="11" spans="2:20" ht="15" x14ac:dyDescent="0.25">
      <c r="B11" s="166"/>
      <c r="C11" s="170" t="s">
        <v>197</v>
      </c>
      <c r="D11" s="237" t="s">
        <v>190</v>
      </c>
      <c r="E11" s="238" t="s">
        <v>190</v>
      </c>
      <c r="F11" s="238" t="s">
        <v>190</v>
      </c>
      <c r="G11" s="238" t="s">
        <v>190</v>
      </c>
      <c r="H11" s="238" t="s">
        <v>190</v>
      </c>
      <c r="I11" s="238" t="s">
        <v>190</v>
      </c>
      <c r="J11" s="238" t="s">
        <v>190</v>
      </c>
      <c r="K11" s="239">
        <v>19599805.920000002</v>
      </c>
      <c r="L11" s="239">
        <v>21607991.700147215</v>
      </c>
      <c r="M11" s="239">
        <v>19938595.50928738</v>
      </c>
      <c r="N11" s="234">
        <v>19149362.056284387</v>
      </c>
      <c r="O11" s="234">
        <v>17776436.030000001</v>
      </c>
      <c r="P11" s="234">
        <v>18644285.140000001</v>
      </c>
      <c r="Q11" s="236">
        <v>18835624.579999998</v>
      </c>
      <c r="R11" s="236">
        <v>16860715.392532274</v>
      </c>
      <c r="S11" s="240">
        <f>ANNUALISED_CAP_COST!B28</f>
        <v>18222882.886529915</v>
      </c>
    </row>
    <row r="12" spans="2:20" ht="15" x14ac:dyDescent="0.25">
      <c r="B12" s="166"/>
      <c r="C12" s="169" t="s">
        <v>198</v>
      </c>
      <c r="D12" s="241">
        <v>97835</v>
      </c>
      <c r="E12" s="242">
        <v>108459</v>
      </c>
      <c r="F12" s="242">
        <v>144235</v>
      </c>
      <c r="G12" s="242">
        <v>131805</v>
      </c>
      <c r="H12" s="242">
        <v>186001</v>
      </c>
      <c r="I12" s="242">
        <v>178477</v>
      </c>
      <c r="J12" s="242">
        <v>122428</v>
      </c>
      <c r="K12" s="242">
        <v>120199</v>
      </c>
      <c r="L12" s="242">
        <v>121888.94</v>
      </c>
      <c r="M12" s="242">
        <v>111753</v>
      </c>
      <c r="N12" s="242">
        <v>138760.39000000001</v>
      </c>
      <c r="O12" s="242">
        <v>126683.47</v>
      </c>
      <c r="P12" s="242">
        <v>114134.15</v>
      </c>
      <c r="Q12" s="243">
        <v>78573.33</v>
      </c>
      <c r="R12" s="243">
        <v>85294</v>
      </c>
      <c r="S12" s="243"/>
    </row>
    <row r="13" spans="2:20" ht="15.6" thickBot="1" x14ac:dyDescent="0.3">
      <c r="B13" s="166"/>
      <c r="C13" s="171" t="s">
        <v>154</v>
      </c>
      <c r="D13" s="244">
        <v>122500</v>
      </c>
      <c r="E13" s="245">
        <v>142200</v>
      </c>
      <c r="F13" s="245">
        <v>173400</v>
      </c>
      <c r="G13" s="245">
        <v>164100</v>
      </c>
      <c r="H13" s="245">
        <v>238500</v>
      </c>
      <c r="I13" s="245">
        <v>240600</v>
      </c>
      <c r="J13" s="245">
        <v>163900</v>
      </c>
      <c r="K13" s="245">
        <v>157000</v>
      </c>
      <c r="L13" s="245">
        <v>176800</v>
      </c>
      <c r="M13" s="245">
        <v>164800</v>
      </c>
      <c r="N13" s="246">
        <v>159800</v>
      </c>
      <c r="O13" s="246">
        <v>149800</v>
      </c>
      <c r="P13" s="245">
        <v>153600</v>
      </c>
      <c r="Q13" s="247">
        <v>154200</v>
      </c>
      <c r="R13" s="247">
        <v>141900</v>
      </c>
      <c r="S13" s="247">
        <f>'ANNUALISED_FIXED_O&amp;M'!B112</f>
        <v>151700</v>
      </c>
    </row>
    <row r="14" spans="2:20" ht="13.2" x14ac:dyDescent="0.25"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</row>
    <row r="15" spans="2:20" ht="13.8" thickBot="1" x14ac:dyDescent="0.3"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</row>
    <row r="16" spans="2:20" ht="13.2" x14ac:dyDescent="0.25">
      <c r="B16" s="248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50"/>
      <c r="S16" s="166"/>
    </row>
    <row r="17" spans="2:19" ht="13.2" x14ac:dyDescent="0.25">
      <c r="B17" s="251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252"/>
      <c r="S17" s="166"/>
    </row>
    <row r="18" spans="2:19" ht="13.2" x14ac:dyDescent="0.25">
      <c r="B18" s="251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252"/>
      <c r="S18" s="166"/>
    </row>
    <row r="19" spans="2:19" ht="13.2" x14ac:dyDescent="0.25">
      <c r="B19" s="251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252"/>
      <c r="S19" s="166"/>
    </row>
    <row r="20" spans="2:19" ht="13.2" x14ac:dyDescent="0.25">
      <c r="B20" s="251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252"/>
      <c r="S20" s="166"/>
    </row>
    <row r="21" spans="2:19" ht="13.2" x14ac:dyDescent="0.25">
      <c r="B21" s="251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252"/>
      <c r="S21" s="166"/>
    </row>
    <row r="22" spans="2:19" ht="13.2" x14ac:dyDescent="0.25">
      <c r="B22" s="251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252"/>
      <c r="S22" s="166"/>
    </row>
    <row r="23" spans="2:19" ht="13.2" x14ac:dyDescent="0.25">
      <c r="B23" s="251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252"/>
      <c r="S23" s="166"/>
    </row>
    <row r="24" spans="2:19" ht="13.2" x14ac:dyDescent="0.25">
      <c r="B24" s="251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252"/>
      <c r="S24" s="166"/>
    </row>
    <row r="25" spans="2:19" ht="13.2" x14ac:dyDescent="0.25">
      <c r="B25" s="251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252"/>
      <c r="S25" s="166"/>
    </row>
    <row r="26" spans="2:19" ht="13.2" x14ac:dyDescent="0.25">
      <c r="B26" s="251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252"/>
      <c r="S26" s="166"/>
    </row>
    <row r="27" spans="2:19" ht="13.2" x14ac:dyDescent="0.25">
      <c r="B27" s="251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252"/>
      <c r="S27" s="166"/>
    </row>
    <row r="28" spans="2:19" ht="13.2" x14ac:dyDescent="0.25">
      <c r="B28" s="251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252"/>
      <c r="S28" s="166"/>
    </row>
    <row r="29" spans="2:19" ht="13.2" x14ac:dyDescent="0.25">
      <c r="B29" s="251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252"/>
      <c r="S29" s="166"/>
    </row>
    <row r="30" spans="2:19" ht="13.2" x14ac:dyDescent="0.25">
      <c r="B30" s="251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252"/>
      <c r="S30" s="166"/>
    </row>
    <row r="31" spans="2:19" ht="13.2" x14ac:dyDescent="0.25">
      <c r="B31" s="251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252"/>
      <c r="S31" s="166"/>
    </row>
    <row r="32" spans="2:19" ht="13.2" x14ac:dyDescent="0.25">
      <c r="B32" s="251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252"/>
      <c r="S32" s="166"/>
    </row>
    <row r="33" spans="2:19" ht="13.2" x14ac:dyDescent="0.25">
      <c r="B33" s="251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252"/>
      <c r="S33" s="166"/>
    </row>
    <row r="34" spans="2:19" ht="13.2" x14ac:dyDescent="0.25">
      <c r="B34" s="251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252"/>
      <c r="S34" s="166"/>
    </row>
    <row r="35" spans="2:19" ht="13.2" x14ac:dyDescent="0.25">
      <c r="B35" s="251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252"/>
      <c r="S35" s="166"/>
    </row>
    <row r="36" spans="2:19" ht="13.2" x14ac:dyDescent="0.25">
      <c r="B36" s="251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252"/>
      <c r="S36" s="166"/>
    </row>
    <row r="37" spans="2:19" ht="13.2" x14ac:dyDescent="0.25">
      <c r="B37" s="251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252"/>
      <c r="S37" s="166"/>
    </row>
    <row r="38" spans="2:19" ht="13.2" x14ac:dyDescent="0.25">
      <c r="B38" s="251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252"/>
      <c r="S38" s="166"/>
    </row>
    <row r="39" spans="2:19" ht="13.2" x14ac:dyDescent="0.25">
      <c r="B39" s="251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252"/>
      <c r="S39" s="166"/>
    </row>
    <row r="40" spans="2:19" ht="13.2" x14ac:dyDescent="0.25">
      <c r="B40" s="251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252"/>
      <c r="S40" s="166"/>
    </row>
    <row r="41" spans="2:19" ht="13.2" x14ac:dyDescent="0.25">
      <c r="B41" s="251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252"/>
      <c r="S41" s="166"/>
    </row>
    <row r="42" spans="2:19" ht="13.2" x14ac:dyDescent="0.25">
      <c r="B42" s="251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252"/>
      <c r="S42" s="166"/>
    </row>
    <row r="43" spans="2:19" ht="13.2" x14ac:dyDescent="0.25">
      <c r="B43" s="251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252"/>
      <c r="S43" s="166"/>
    </row>
    <row r="44" spans="2:19" ht="13.2" x14ac:dyDescent="0.25">
      <c r="B44" s="251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252"/>
      <c r="S44" s="166"/>
    </row>
    <row r="45" spans="2:19" ht="13.2" x14ac:dyDescent="0.25">
      <c r="B45" s="251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252"/>
      <c r="S45" s="166"/>
    </row>
    <row r="46" spans="2:19" ht="13.2" x14ac:dyDescent="0.25">
      <c r="B46" s="25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252"/>
      <c r="S46" s="166"/>
    </row>
    <row r="47" spans="2:19" ht="13.2" x14ac:dyDescent="0.25">
      <c r="B47" s="251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252"/>
      <c r="S47" s="166"/>
    </row>
    <row r="48" spans="2:19" ht="13.2" x14ac:dyDescent="0.25">
      <c r="B48" s="251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252"/>
      <c r="S48" s="166"/>
    </row>
    <row r="49" spans="2:20" ht="13.2" x14ac:dyDescent="0.25">
      <c r="B49" s="251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252"/>
      <c r="S49" s="166"/>
    </row>
    <row r="50" spans="2:20" ht="13.2" x14ac:dyDescent="0.25">
      <c r="B50" s="25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252"/>
      <c r="S50" s="166"/>
    </row>
    <row r="51" spans="2:20" ht="13.2" x14ac:dyDescent="0.25">
      <c r="B51" s="251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252"/>
      <c r="S51" s="166"/>
    </row>
    <row r="52" spans="2:20" ht="13.2" x14ac:dyDescent="0.25">
      <c r="B52" s="251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252"/>
      <c r="S52" s="166"/>
    </row>
    <row r="53" spans="2:20" ht="13.8" thickBot="1" x14ac:dyDescent="0.3">
      <c r="B53" s="251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252"/>
      <c r="S53" s="166"/>
    </row>
    <row r="54" spans="2:20" ht="17.25" customHeight="1" thickBot="1" x14ac:dyDescent="0.35">
      <c r="B54" s="251"/>
      <c r="C54" s="166"/>
      <c r="D54" s="396" t="s">
        <v>172</v>
      </c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9"/>
      <c r="S54" s="166"/>
    </row>
    <row r="55" spans="2:20" ht="16.2" thickBot="1" x14ac:dyDescent="0.35">
      <c r="B55" s="251"/>
      <c r="C55" s="253"/>
      <c r="D55" s="254" t="s">
        <v>174</v>
      </c>
      <c r="E55" s="255" t="s">
        <v>175</v>
      </c>
      <c r="F55" s="255" t="s">
        <v>176</v>
      </c>
      <c r="G55" s="255" t="s">
        <v>177</v>
      </c>
      <c r="H55" s="255" t="s">
        <v>178</v>
      </c>
      <c r="I55" s="255" t="s">
        <v>179</v>
      </c>
      <c r="J55" s="255" t="s">
        <v>180</v>
      </c>
      <c r="K55" s="255" t="s">
        <v>181</v>
      </c>
      <c r="L55" s="255" t="s">
        <v>182</v>
      </c>
      <c r="M55" s="255" t="s">
        <v>183</v>
      </c>
      <c r="N55" s="255" t="s">
        <v>184</v>
      </c>
      <c r="O55" s="255" t="s">
        <v>185</v>
      </c>
      <c r="P55" s="255" t="s">
        <v>186</v>
      </c>
      <c r="Q55" s="255" t="s">
        <v>187</v>
      </c>
      <c r="R55" s="256" t="s">
        <v>188</v>
      </c>
      <c r="S55" s="166"/>
    </row>
    <row r="56" spans="2:20" ht="15.6" x14ac:dyDescent="0.3">
      <c r="B56" s="251"/>
      <c r="C56" s="257" t="s">
        <v>242</v>
      </c>
      <c r="D56" s="258">
        <v>107404</v>
      </c>
      <c r="E56" s="258">
        <v>135701</v>
      </c>
      <c r="F56" s="258">
        <v>134091</v>
      </c>
      <c r="G56" s="258">
        <v>149306</v>
      </c>
      <c r="H56" s="258">
        <v>158709.62279171101</v>
      </c>
      <c r="I56" s="258">
        <v>113971.119830457</v>
      </c>
      <c r="J56" s="258">
        <f t="shared" ref="J56:R56" si="0">(K4*(1+K5)*K6)/((K4*(1+K5)*K6)+K7*K6+K8+K9)*K11/K6</f>
        <v>104178.11203866579</v>
      </c>
      <c r="K56" s="258">
        <f t="shared" si="0"/>
        <v>119941.75194115908</v>
      </c>
      <c r="L56" s="258">
        <f t="shared" si="0"/>
        <v>108648.71644633486</v>
      </c>
      <c r="M56" s="258">
        <f t="shared" si="0"/>
        <v>103897.67020924413</v>
      </c>
      <c r="N56" s="258">
        <f t="shared" si="0"/>
        <v>95744.972024981151</v>
      </c>
      <c r="O56" s="258">
        <f t="shared" si="0"/>
        <v>99424.958143234442</v>
      </c>
      <c r="P56" s="258">
        <f t="shared" si="0"/>
        <v>100002.33390699397</v>
      </c>
      <c r="Q56" s="258">
        <f t="shared" si="0"/>
        <v>89002.193013098586</v>
      </c>
      <c r="R56" s="259">
        <f t="shared" si="0"/>
        <v>95417.092745841233</v>
      </c>
      <c r="S56" s="260"/>
    </row>
    <row r="57" spans="2:20" ht="15.6" x14ac:dyDescent="0.3">
      <c r="B57" s="251"/>
      <c r="C57" s="261" t="s">
        <v>199</v>
      </c>
      <c r="D57" s="262">
        <v>18017</v>
      </c>
      <c r="E57" s="262">
        <v>20672</v>
      </c>
      <c r="F57" s="262">
        <v>13151</v>
      </c>
      <c r="G57" s="262">
        <v>58493</v>
      </c>
      <c r="H57" s="262">
        <v>51620.522079153197</v>
      </c>
      <c r="I57" s="262">
        <v>12329.342763937215</v>
      </c>
      <c r="J57" s="262">
        <f t="shared" ref="J57:R57" si="1">(K7*K6)/((K4*(1+K5)*K6)+K7*K6+K8+K9)*K11/K6</f>
        <v>12164.144792355832</v>
      </c>
      <c r="K57" s="262">
        <f t="shared" si="1"/>
        <v>16127.010707971525</v>
      </c>
      <c r="L57" s="262">
        <f t="shared" si="1"/>
        <v>16860.303568328425</v>
      </c>
      <c r="M57" s="262">
        <f t="shared" si="1"/>
        <v>16623.829054161251</v>
      </c>
      <c r="N57" s="262">
        <f t="shared" si="1"/>
        <v>17691.164106295295</v>
      </c>
      <c r="O57" s="262">
        <f t="shared" si="1"/>
        <v>17520.237574424129</v>
      </c>
      <c r="P57" s="262">
        <f t="shared" si="1"/>
        <v>18119.653375703503</v>
      </c>
      <c r="Q57" s="262">
        <f t="shared" si="1"/>
        <v>16061.786775439077</v>
      </c>
      <c r="R57" s="263">
        <f t="shared" si="1"/>
        <v>18120.251746142199</v>
      </c>
      <c r="S57" s="260"/>
    </row>
    <row r="58" spans="2:20" ht="15.6" x14ac:dyDescent="0.3">
      <c r="B58" s="251"/>
      <c r="C58" s="261" t="s">
        <v>200</v>
      </c>
      <c r="D58" s="262">
        <v>13363.361699999999</v>
      </c>
      <c r="E58" s="262">
        <v>14392.090099999999</v>
      </c>
      <c r="F58" s="262">
        <v>13431</v>
      </c>
      <c r="G58" s="262">
        <v>27335</v>
      </c>
      <c r="H58" s="262">
        <v>26648.639999999999</v>
      </c>
      <c r="I58" s="262">
        <v>33384.488896452836</v>
      </c>
      <c r="J58" s="262">
        <f t="shared" ref="J58:R58" si="2">K10</f>
        <v>34238.67</v>
      </c>
      <c r="K58" s="262">
        <f t="shared" si="2"/>
        <v>33238.008880602021</v>
      </c>
      <c r="L58" s="262">
        <f t="shared" si="2"/>
        <v>32307.016765742781</v>
      </c>
      <c r="M58" s="262">
        <f t="shared" si="2"/>
        <v>32581.684018372114</v>
      </c>
      <c r="N58" s="262">
        <f t="shared" si="2"/>
        <v>30143.200000000001</v>
      </c>
      <c r="O58" s="262">
        <f t="shared" si="2"/>
        <v>30437</v>
      </c>
      <c r="P58" s="262">
        <f t="shared" si="2"/>
        <v>29776.44</v>
      </c>
      <c r="Q58" s="262">
        <f t="shared" si="2"/>
        <v>31168.014527213316</v>
      </c>
      <c r="R58" s="263">
        <f t="shared" si="2"/>
        <v>32027.658870725267</v>
      </c>
      <c r="S58" s="260"/>
    </row>
    <row r="59" spans="2:20" ht="15.6" x14ac:dyDescent="0.3">
      <c r="B59" s="251"/>
      <c r="C59" s="261" t="s">
        <v>201</v>
      </c>
      <c r="D59" s="262">
        <v>3456</v>
      </c>
      <c r="E59" s="262">
        <v>2631</v>
      </c>
      <c r="F59" s="262">
        <v>3151</v>
      </c>
      <c r="G59" s="262">
        <v>2615</v>
      </c>
      <c r="H59" s="262">
        <v>2824.58583257696</v>
      </c>
      <c r="I59" s="262">
        <v>2239.0742348717968</v>
      </c>
      <c r="J59" s="262">
        <f t="shared" ref="J59:R59" si="3">(K8)/((K4*(1+K5)*K6)+K7*K6+K8+K9)*K11/K6</f>
        <v>4680.099245710715</v>
      </c>
      <c r="K59" s="262">
        <f t="shared" si="3"/>
        <v>5441.5405867291374</v>
      </c>
      <c r="L59" s="262">
        <f t="shared" si="3"/>
        <v>5060.9758061740849</v>
      </c>
      <c r="M59" s="262">
        <f t="shared" si="3"/>
        <v>4886.0544711751863</v>
      </c>
      <c r="N59" s="262">
        <f t="shared" si="3"/>
        <v>4620.0946319206996</v>
      </c>
      <c r="O59" s="262">
        <f t="shared" si="3"/>
        <v>4615.2746554386931</v>
      </c>
      <c r="P59" s="262">
        <f t="shared" si="3"/>
        <v>4752.8108364052532</v>
      </c>
      <c r="Q59" s="262">
        <f t="shared" si="3"/>
        <v>4186.0320704645028</v>
      </c>
      <c r="R59" s="263">
        <f t="shared" si="3"/>
        <v>4548.3637409316761</v>
      </c>
      <c r="S59" s="260"/>
    </row>
    <row r="60" spans="2:20" ht="15.6" x14ac:dyDescent="0.3">
      <c r="B60" s="251"/>
      <c r="C60" s="261" t="s">
        <v>202</v>
      </c>
      <c r="D60" s="262">
        <v>0</v>
      </c>
      <c r="E60" s="262">
        <v>0</v>
      </c>
      <c r="F60" s="262">
        <v>293</v>
      </c>
      <c r="G60" s="262">
        <v>769</v>
      </c>
      <c r="H60" s="262">
        <v>817.61457655866002</v>
      </c>
      <c r="I60" s="262">
        <v>1972.5490729899482</v>
      </c>
      <c r="J60" s="262">
        <f t="shared" ref="J60:R60" si="4">(K9)/((K4*(1+K5)*K6)+K7*K6+K8+K9)*K11/K6</f>
        <v>1783.4454270270619</v>
      </c>
      <c r="K60" s="262">
        <f t="shared" si="4"/>
        <v>2064.3924461815727</v>
      </c>
      <c r="L60" s="262">
        <f t="shared" si="4"/>
        <v>1912.3663671186482</v>
      </c>
      <c r="M60" s="262">
        <f t="shared" si="4"/>
        <v>1830.7323536877852</v>
      </c>
      <c r="N60" s="262">
        <f t="shared" si="4"/>
        <v>1650.4091694627905</v>
      </c>
      <c r="O60" s="262">
        <f t="shared" si="4"/>
        <v>1585.4024142211056</v>
      </c>
      <c r="P60" s="262">
        <f t="shared" si="4"/>
        <v>1534.8754608179993</v>
      </c>
      <c r="Q60" s="262">
        <f t="shared" si="4"/>
        <v>1471.7860956358356</v>
      </c>
      <c r="R60" s="263">
        <f t="shared" si="4"/>
        <v>1581.2400631836147</v>
      </c>
      <c r="S60" s="260"/>
      <c r="T60" s="164"/>
    </row>
    <row r="61" spans="2:20" ht="15.6" x14ac:dyDescent="0.3">
      <c r="B61" s="251"/>
      <c r="C61" s="261" t="s">
        <v>203</v>
      </c>
      <c r="D61" s="262">
        <f t="shared" ref="D61:K61" si="5">E12</f>
        <v>108459</v>
      </c>
      <c r="E61" s="262">
        <f t="shared" si="5"/>
        <v>144235</v>
      </c>
      <c r="F61" s="262">
        <f t="shared" si="5"/>
        <v>131805</v>
      </c>
      <c r="G61" s="262">
        <f t="shared" si="5"/>
        <v>186001</v>
      </c>
      <c r="H61" s="262">
        <f t="shared" si="5"/>
        <v>178477</v>
      </c>
      <c r="I61" s="262">
        <f t="shared" si="5"/>
        <v>122428</v>
      </c>
      <c r="J61" s="262">
        <f t="shared" si="5"/>
        <v>120199</v>
      </c>
      <c r="K61" s="262">
        <f t="shared" si="5"/>
        <v>121888.94</v>
      </c>
      <c r="L61" s="262">
        <v>111752.53</v>
      </c>
      <c r="M61" s="262">
        <v>138760.39000000001</v>
      </c>
      <c r="N61" s="262">
        <v>126683.47</v>
      </c>
      <c r="O61" s="262">
        <v>114134.15</v>
      </c>
      <c r="P61" s="262">
        <v>78573.33</v>
      </c>
      <c r="Q61" s="262">
        <v>85294</v>
      </c>
      <c r="R61" s="263"/>
      <c r="S61" s="260"/>
    </row>
    <row r="62" spans="2:20" ht="15.6" x14ac:dyDescent="0.3">
      <c r="B62" s="251"/>
      <c r="C62" s="261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5"/>
      <c r="S62" s="266"/>
    </row>
    <row r="63" spans="2:20" ht="16.2" thickBot="1" x14ac:dyDescent="0.35">
      <c r="B63" s="251"/>
      <c r="C63" s="267" t="s">
        <v>154</v>
      </c>
      <c r="D63" s="268">
        <f t="shared" ref="D63:R63" si="6">E13</f>
        <v>142200</v>
      </c>
      <c r="E63" s="268">
        <f t="shared" si="6"/>
        <v>173400</v>
      </c>
      <c r="F63" s="268">
        <f t="shared" si="6"/>
        <v>164100</v>
      </c>
      <c r="G63" s="268">
        <f t="shared" si="6"/>
        <v>238500</v>
      </c>
      <c r="H63" s="268">
        <f t="shared" si="6"/>
        <v>240600</v>
      </c>
      <c r="I63" s="268">
        <f t="shared" si="6"/>
        <v>163900</v>
      </c>
      <c r="J63" s="268">
        <f t="shared" si="6"/>
        <v>157000</v>
      </c>
      <c r="K63" s="268">
        <f t="shared" si="6"/>
        <v>176800</v>
      </c>
      <c r="L63" s="268">
        <f t="shared" si="6"/>
        <v>164800</v>
      </c>
      <c r="M63" s="268">
        <f t="shared" si="6"/>
        <v>159800</v>
      </c>
      <c r="N63" s="268">
        <f t="shared" si="6"/>
        <v>149800</v>
      </c>
      <c r="O63" s="268">
        <f t="shared" si="6"/>
        <v>153600</v>
      </c>
      <c r="P63" s="268">
        <f t="shared" si="6"/>
        <v>154200</v>
      </c>
      <c r="Q63" s="268">
        <f t="shared" si="6"/>
        <v>141900</v>
      </c>
      <c r="R63" s="269">
        <f t="shared" si="6"/>
        <v>151700</v>
      </c>
      <c r="S63" s="270"/>
    </row>
    <row r="64" spans="2:20" ht="15" x14ac:dyDescent="0.25">
      <c r="B64" s="251"/>
      <c r="C64" s="266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2"/>
      <c r="O64" s="166"/>
      <c r="P64" s="166"/>
      <c r="Q64" s="166"/>
      <c r="R64" s="252"/>
      <c r="S64" s="166"/>
    </row>
    <row r="65" spans="2:19" ht="13.8" thickBot="1" x14ac:dyDescent="0.3">
      <c r="B65" s="273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5"/>
      <c r="S65" s="166"/>
    </row>
    <row r="66" spans="2:19" ht="13.2" x14ac:dyDescent="0.25"/>
    <row r="67" spans="2:19" ht="13.2" x14ac:dyDescent="0.25"/>
  </sheetData>
  <sheetProtection algorithmName="SHA-512" hashValue="RdbxQzNlFTaSm0W6Nh7E8Q5B9XvnJKHARXEW2iDnABgpgwXGL+FhcHhdAo1gTTuljHK4WHGst6UqoQIPR+SNWA==" saltValue="bO9L79GF6x+Y8BgpIdjoyA==" spinCount="100000" sheet="1" objects="1" scenarios="1" formatCells="0" formatColumns="0" formatRows="0"/>
  <mergeCells count="2">
    <mergeCell ref="D2:P2"/>
    <mergeCell ref="D54:R5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3D24-46D6-40A3-9591-A220095EE72B}">
  <sheetPr>
    <pageSetUpPr fitToPage="1"/>
  </sheetPr>
  <dimension ref="A1:Q52"/>
  <sheetViews>
    <sheetView showGridLines="0" zoomScale="85" zoomScaleNormal="85" workbookViewId="0">
      <selection activeCell="E38" sqref="E38"/>
    </sheetView>
  </sheetViews>
  <sheetFormatPr defaultColWidth="10.33203125" defaultRowHeight="13.8" x14ac:dyDescent="0.25"/>
  <cols>
    <col min="1" max="1" width="9.33203125" style="156" customWidth="1"/>
    <col min="2" max="2" width="53.6640625" style="156" customWidth="1"/>
    <col min="3" max="6" width="23.6640625" style="156" customWidth="1"/>
    <col min="7" max="7" width="23.6640625" style="157" customWidth="1"/>
    <col min="8" max="9" width="25.6640625" style="157" customWidth="1"/>
    <col min="10" max="10" width="25" style="157" customWidth="1"/>
    <col min="11" max="11" width="20.6640625" style="157" customWidth="1"/>
    <col min="12" max="12" width="20.6640625" style="156" customWidth="1"/>
    <col min="13" max="14" width="23.6640625" style="156" customWidth="1"/>
    <col min="15" max="16" width="25.6640625" style="156" customWidth="1"/>
    <col min="17" max="16384" width="10.33203125" style="156"/>
  </cols>
  <sheetData>
    <row r="1" spans="1:17" x14ac:dyDescent="0.25">
      <c r="A1" s="172"/>
      <c r="B1" s="172"/>
      <c r="C1" s="172"/>
      <c r="D1" s="172"/>
      <c r="E1" s="172"/>
      <c r="F1" s="172"/>
      <c r="G1" s="276"/>
      <c r="H1" s="276"/>
      <c r="I1" s="276"/>
    </row>
    <row r="2" spans="1:17" ht="14.4" thickBot="1" x14ac:dyDescent="0.3">
      <c r="A2" s="172"/>
      <c r="B2" s="288"/>
      <c r="C2" s="288"/>
      <c r="D2" s="288"/>
      <c r="E2" s="288"/>
      <c r="F2" s="288"/>
      <c r="G2" s="276"/>
      <c r="H2" s="276"/>
      <c r="I2" s="276"/>
    </row>
    <row r="3" spans="1:17" ht="14.4" thickBot="1" x14ac:dyDescent="0.3">
      <c r="A3" s="172"/>
      <c r="B3" s="354"/>
      <c r="C3" s="323" t="s">
        <v>206</v>
      </c>
      <c r="D3" s="355" t="s">
        <v>207</v>
      </c>
      <c r="E3" s="323" t="s">
        <v>208</v>
      </c>
      <c r="F3" s="356" t="s">
        <v>240</v>
      </c>
      <c r="G3" s="9"/>
      <c r="H3" s="9"/>
      <c r="I3" s="9"/>
      <c r="J3" s="130"/>
      <c r="K3" s="130"/>
      <c r="L3" s="157"/>
      <c r="M3" s="157"/>
      <c r="N3" s="157"/>
      <c r="O3" s="157"/>
      <c r="P3" s="157"/>
      <c r="Q3" s="157"/>
    </row>
    <row r="4" spans="1:17" x14ac:dyDescent="0.25">
      <c r="A4" s="172"/>
      <c r="B4" s="357" t="s">
        <v>209</v>
      </c>
      <c r="C4" s="358"/>
      <c r="D4" s="359"/>
      <c r="E4" s="360">
        <v>141900</v>
      </c>
      <c r="F4" s="360">
        <v>141900</v>
      </c>
      <c r="G4" s="9"/>
      <c r="H4" s="9"/>
      <c r="I4" s="9"/>
      <c r="J4" s="130"/>
      <c r="K4" s="130"/>
      <c r="L4" s="157"/>
      <c r="M4" s="157"/>
      <c r="N4" s="157"/>
      <c r="O4" s="157"/>
      <c r="P4" s="157"/>
      <c r="Q4" s="157"/>
    </row>
    <row r="5" spans="1:17" x14ac:dyDescent="0.25">
      <c r="A5" s="172"/>
      <c r="B5" s="361" t="s">
        <v>210</v>
      </c>
      <c r="C5" s="362">
        <f>E5-E4</f>
        <v>-13100</v>
      </c>
      <c r="D5" s="363">
        <f t="shared" ref="D5:D13" si="0">C5/$E$4</f>
        <v>-9.2318534178999295E-2</v>
      </c>
      <c r="E5" s="364">
        <v>128800</v>
      </c>
      <c r="F5" s="364">
        <v>128900</v>
      </c>
      <c r="G5" s="9"/>
      <c r="H5" s="9"/>
      <c r="I5" s="9"/>
      <c r="J5" s="130"/>
      <c r="K5" s="130"/>
      <c r="L5" s="157"/>
      <c r="M5" s="157"/>
      <c r="N5" s="157"/>
      <c r="O5" s="157"/>
      <c r="P5" s="157"/>
      <c r="Q5" s="157"/>
    </row>
    <row r="6" spans="1:17" x14ac:dyDescent="0.25">
      <c r="A6" s="172"/>
      <c r="B6" s="361" t="s">
        <v>211</v>
      </c>
      <c r="C6" s="362">
        <f t="shared" ref="C6:C11" si="1">E6-E5</f>
        <v>7600</v>
      </c>
      <c r="D6" s="363">
        <f t="shared" si="0"/>
        <v>5.3558844256518676E-2</v>
      </c>
      <c r="E6" s="364">
        <v>136400</v>
      </c>
      <c r="F6" s="364">
        <v>136500</v>
      </c>
      <c r="G6" s="9"/>
      <c r="H6" s="9"/>
      <c r="I6" s="9"/>
      <c r="J6" s="130"/>
      <c r="K6" s="130"/>
      <c r="L6" s="157"/>
      <c r="M6" s="157"/>
      <c r="N6" s="157"/>
      <c r="O6" s="157"/>
      <c r="P6" s="157"/>
      <c r="Q6" s="157"/>
    </row>
    <row r="7" spans="1:17" x14ac:dyDescent="0.25">
      <c r="A7" s="172"/>
      <c r="B7" s="361" t="s">
        <v>212</v>
      </c>
      <c r="C7" s="362">
        <f t="shared" si="1"/>
        <v>-400</v>
      </c>
      <c r="D7" s="363">
        <f t="shared" si="0"/>
        <v>-2.8188865398167725E-3</v>
      </c>
      <c r="E7" s="364">
        <v>136000</v>
      </c>
      <c r="F7" s="364">
        <v>136100</v>
      </c>
      <c r="G7" s="9"/>
      <c r="H7" s="9"/>
      <c r="I7" s="9"/>
      <c r="J7" s="130"/>
      <c r="K7" s="130"/>
      <c r="L7" s="157"/>
      <c r="M7" s="157"/>
      <c r="N7" s="157"/>
      <c r="O7" s="157"/>
      <c r="P7" s="157"/>
      <c r="Q7" s="157"/>
    </row>
    <row r="8" spans="1:17" x14ac:dyDescent="0.25">
      <c r="A8" s="172"/>
      <c r="B8" s="361" t="s">
        <v>213</v>
      </c>
      <c r="C8" s="362">
        <f t="shared" si="1"/>
        <v>-200</v>
      </c>
      <c r="D8" s="363">
        <f t="shared" si="0"/>
        <v>-1.4094432699083862E-3</v>
      </c>
      <c r="E8" s="364">
        <v>135800</v>
      </c>
      <c r="F8" s="364">
        <v>136000</v>
      </c>
      <c r="G8" s="9"/>
      <c r="H8" s="9"/>
      <c r="I8" s="9"/>
      <c r="J8" s="130"/>
      <c r="K8" s="130"/>
      <c r="L8" s="157"/>
      <c r="M8" s="157"/>
      <c r="N8" s="157"/>
      <c r="O8" s="157"/>
      <c r="P8" s="157"/>
      <c r="Q8" s="157"/>
    </row>
    <row r="9" spans="1:17" x14ac:dyDescent="0.25">
      <c r="A9" s="277"/>
      <c r="B9" s="361" t="s">
        <v>214</v>
      </c>
      <c r="C9" s="362">
        <f t="shared" si="1"/>
        <v>0</v>
      </c>
      <c r="D9" s="363">
        <f t="shared" si="0"/>
        <v>0</v>
      </c>
      <c r="E9" s="364">
        <v>135800</v>
      </c>
      <c r="F9" s="364">
        <v>135900</v>
      </c>
      <c r="G9" s="9"/>
      <c r="H9" s="9"/>
      <c r="I9" s="9"/>
      <c r="J9" s="130"/>
      <c r="K9" s="130"/>
      <c r="L9" s="157"/>
      <c r="M9" s="157"/>
      <c r="N9" s="157"/>
      <c r="O9" s="157"/>
      <c r="P9" s="157"/>
      <c r="Q9" s="157"/>
    </row>
    <row r="10" spans="1:17" x14ac:dyDescent="0.25">
      <c r="A10" s="172"/>
      <c r="B10" s="361" t="s">
        <v>215</v>
      </c>
      <c r="C10" s="362">
        <f t="shared" si="1"/>
        <v>-100</v>
      </c>
      <c r="D10" s="363">
        <f t="shared" si="0"/>
        <v>-7.0472163495419312E-4</v>
      </c>
      <c r="E10" s="364">
        <v>135700</v>
      </c>
      <c r="F10" s="364">
        <v>135800</v>
      </c>
      <c r="G10" s="9"/>
      <c r="H10" s="9"/>
      <c r="I10" s="9"/>
      <c r="J10" s="130"/>
      <c r="K10" s="130"/>
      <c r="L10" s="157"/>
      <c r="M10" s="157"/>
      <c r="N10" s="157"/>
      <c r="O10" s="157"/>
      <c r="P10" s="157"/>
      <c r="Q10" s="157"/>
    </row>
    <row r="11" spans="1:17" x14ac:dyDescent="0.25">
      <c r="A11" s="172"/>
      <c r="B11" s="361" t="s">
        <v>13</v>
      </c>
      <c r="C11" s="362">
        <f t="shared" si="1"/>
        <v>14200</v>
      </c>
      <c r="D11" s="363">
        <f t="shared" si="0"/>
        <v>0.10007047216349542</v>
      </c>
      <c r="E11" s="364">
        <v>149900</v>
      </c>
      <c r="F11" s="364">
        <v>134500</v>
      </c>
      <c r="G11" s="9"/>
      <c r="H11" s="9"/>
      <c r="I11" s="9"/>
      <c r="J11" s="130"/>
      <c r="K11" s="130"/>
      <c r="L11" s="157"/>
      <c r="M11" s="157"/>
      <c r="N11" s="157"/>
      <c r="O11" s="157"/>
      <c r="P11" s="157"/>
      <c r="Q11" s="157"/>
    </row>
    <row r="12" spans="1:17" x14ac:dyDescent="0.25">
      <c r="A12" s="172"/>
      <c r="B12" s="361" t="s">
        <v>216</v>
      </c>
      <c r="C12" s="362">
        <f>E12-E11</f>
        <v>0</v>
      </c>
      <c r="D12" s="363">
        <f t="shared" si="0"/>
        <v>0</v>
      </c>
      <c r="E12" s="364">
        <v>149900</v>
      </c>
      <c r="F12" s="364">
        <v>134500</v>
      </c>
      <c r="G12" s="9"/>
      <c r="H12" s="9"/>
      <c r="I12" s="9"/>
      <c r="J12" s="130"/>
      <c r="K12" s="130"/>
      <c r="L12" s="157"/>
      <c r="M12" s="157"/>
      <c r="N12" s="157"/>
      <c r="O12" s="157"/>
      <c r="P12" s="157"/>
      <c r="Q12" s="157"/>
    </row>
    <row r="13" spans="1:17" x14ac:dyDescent="0.25">
      <c r="A13" s="172"/>
      <c r="B13" s="361" t="s">
        <v>217</v>
      </c>
      <c r="C13" s="362">
        <f>E13-E12</f>
        <v>1800</v>
      </c>
      <c r="D13" s="363">
        <f t="shared" si="0"/>
        <v>1.2684989429175475E-2</v>
      </c>
      <c r="E13" s="364">
        <v>151700</v>
      </c>
      <c r="F13" s="364">
        <v>136300</v>
      </c>
      <c r="G13" s="9"/>
      <c r="H13" s="9"/>
      <c r="I13" s="9"/>
      <c r="J13" s="130"/>
      <c r="K13" s="130"/>
    </row>
    <row r="14" spans="1:17" ht="14.4" thickBot="1" x14ac:dyDescent="0.3">
      <c r="A14" s="172"/>
      <c r="B14" s="365" t="s">
        <v>218</v>
      </c>
      <c r="C14" s="366">
        <f>SUM(C5:C13)</f>
        <v>9800</v>
      </c>
      <c r="D14" s="367">
        <f>C14/E4</f>
        <v>6.9062720225510923E-2</v>
      </c>
      <c r="E14" s="368">
        <f>'ANNUALISED_FIXED_O&amp;M'!B112</f>
        <v>151700</v>
      </c>
      <c r="F14" s="368">
        <v>136300</v>
      </c>
      <c r="G14" s="9"/>
      <c r="H14" s="9"/>
      <c r="I14" s="9"/>
      <c r="J14"/>
      <c r="K14"/>
      <c r="L14"/>
      <c r="M14"/>
      <c r="N14"/>
      <c r="O14"/>
      <c r="P14"/>
    </row>
    <row r="15" spans="1:17" x14ac:dyDescent="0.25">
      <c r="A15" s="172"/>
      <c r="B15" s="172"/>
      <c r="C15" s="172"/>
      <c r="D15" s="172"/>
      <c r="E15" s="278"/>
      <c r="F15" s="172"/>
      <c r="G15" s="276"/>
      <c r="H15" s="276"/>
      <c r="I15" s="276"/>
      <c r="J15"/>
      <c r="K15"/>
      <c r="L15"/>
      <c r="M15"/>
      <c r="N15"/>
      <c r="O15"/>
      <c r="P15"/>
    </row>
    <row r="16" spans="1:17" ht="78" customHeight="1" x14ac:dyDescent="0.25">
      <c r="A16" s="277"/>
      <c r="B16" s="325"/>
      <c r="C16" s="326" t="s">
        <v>209</v>
      </c>
      <c r="D16" s="327" t="s">
        <v>219</v>
      </c>
      <c r="E16" s="327" t="s">
        <v>218</v>
      </c>
      <c r="F16" s="402" t="s">
        <v>238</v>
      </c>
      <c r="G16" s="403"/>
      <c r="H16" s="400" t="s">
        <v>239</v>
      </c>
      <c r="I16" s="401"/>
      <c r="J16"/>
      <c r="K16"/>
      <c r="L16"/>
      <c r="M16"/>
      <c r="N16"/>
      <c r="O16"/>
      <c r="P16"/>
    </row>
    <row r="17" spans="1:16" x14ac:dyDescent="0.25">
      <c r="A17" s="277"/>
      <c r="B17" s="328" t="s">
        <v>154</v>
      </c>
      <c r="C17" s="329">
        <v>141900</v>
      </c>
      <c r="D17" s="330">
        <v>136300</v>
      </c>
      <c r="E17" s="331">
        <f>'ANNUALISED_FIXED_O&amp;M'!B112</f>
        <v>151700</v>
      </c>
      <c r="F17" s="332">
        <f>(E17/C17)-1</f>
        <v>6.9062720225510965E-2</v>
      </c>
      <c r="G17" s="333">
        <f>E17-C17</f>
        <v>9800</v>
      </c>
      <c r="H17" s="332">
        <f>(E17/D17)-1</f>
        <v>0.11298606016140855</v>
      </c>
      <c r="I17" s="333">
        <f>E17-D17</f>
        <v>15400</v>
      </c>
      <c r="J17"/>
      <c r="K17"/>
      <c r="L17"/>
      <c r="M17"/>
      <c r="N17"/>
      <c r="O17"/>
      <c r="P17"/>
    </row>
    <row r="18" spans="1:16" x14ac:dyDescent="0.25">
      <c r="A18" s="277"/>
      <c r="B18" s="328" t="s">
        <v>79</v>
      </c>
      <c r="C18" s="329">
        <v>31168</v>
      </c>
      <c r="D18" s="330">
        <v>31987.496005600056</v>
      </c>
      <c r="E18" s="331">
        <f>'ANNUALISED_FIXED_O&amp;M'!C149</f>
        <v>32027.658870725267</v>
      </c>
      <c r="F18" s="332">
        <f t="shared" ref="F18:F38" si="2">(E18/C18)-1</f>
        <v>2.7581457607971815E-2</v>
      </c>
      <c r="G18" s="333">
        <f t="shared" ref="G18:G37" si="3">E18-C18</f>
        <v>859.65887072526675</v>
      </c>
      <c r="H18" s="332">
        <f t="shared" ref="H18:H40" si="4">(E18/D18)-1</f>
        <v>1.2555801528877364E-3</v>
      </c>
      <c r="I18" s="333">
        <f t="shared" ref="I18:I40" si="5">E18-D18</f>
        <v>40.162865125210374</v>
      </c>
      <c r="J18"/>
      <c r="K18"/>
      <c r="L18"/>
      <c r="M18"/>
      <c r="N18"/>
      <c r="O18"/>
      <c r="P18"/>
    </row>
    <row r="19" spans="1:16" x14ac:dyDescent="0.25">
      <c r="A19" s="277"/>
      <c r="B19" s="328" t="s">
        <v>81</v>
      </c>
      <c r="C19" s="329">
        <v>16860715</v>
      </c>
      <c r="D19" s="330">
        <v>15888821.272685904</v>
      </c>
      <c r="E19" s="331">
        <f>ANNUALISED_CAP_COST!B28</f>
        <v>18222882.886529915</v>
      </c>
      <c r="F19" s="332">
        <f t="shared" si="2"/>
        <v>8.0789449707792116E-2</v>
      </c>
      <c r="G19" s="333">
        <f t="shared" si="3"/>
        <v>1362167.886529915</v>
      </c>
      <c r="H19" s="332">
        <f t="shared" si="4"/>
        <v>0.1468996078303455</v>
      </c>
      <c r="I19" s="333">
        <f t="shared" si="5"/>
        <v>2334061.613844011</v>
      </c>
      <c r="J19"/>
      <c r="K19"/>
      <c r="L19"/>
      <c r="M19"/>
      <c r="N19"/>
      <c r="O19"/>
      <c r="P19"/>
    </row>
    <row r="20" spans="1:16" x14ac:dyDescent="0.25">
      <c r="A20" s="277"/>
      <c r="B20" s="328" t="s">
        <v>84</v>
      </c>
      <c r="C20" s="329">
        <v>859629</v>
      </c>
      <c r="D20" s="330">
        <v>816437.14351583796</v>
      </c>
      <c r="E20" s="331">
        <f>PC!C16</f>
        <v>816437.14351583796</v>
      </c>
      <c r="F20" s="332">
        <f t="shared" si="2"/>
        <v>-5.0244764292691424E-2</v>
      </c>
      <c r="G20" s="333">
        <f t="shared" si="3"/>
        <v>-43191.856484162039</v>
      </c>
      <c r="H20" s="332">
        <f t="shared" si="4"/>
        <v>0</v>
      </c>
      <c r="I20" s="333">
        <f t="shared" si="5"/>
        <v>0</v>
      </c>
      <c r="J20"/>
      <c r="K20"/>
      <c r="L20"/>
      <c r="M20"/>
      <c r="N20"/>
      <c r="O20"/>
      <c r="P20"/>
    </row>
    <row r="21" spans="1:16" x14ac:dyDescent="0.25">
      <c r="A21" s="277"/>
      <c r="B21" s="328" t="s">
        <v>15</v>
      </c>
      <c r="C21" s="334">
        <v>0.1716</v>
      </c>
      <c r="D21" s="335">
        <v>0.16692402252697833</v>
      </c>
      <c r="E21" s="336">
        <f>M!B3</f>
        <v>0.16692402252697833</v>
      </c>
      <c r="F21" s="332">
        <f t="shared" si="2"/>
        <v>-2.724928597331977E-2</v>
      </c>
      <c r="G21" s="333">
        <f t="shared" si="3"/>
        <v>-4.6759774730216752E-3</v>
      </c>
      <c r="H21" s="332">
        <f t="shared" si="4"/>
        <v>0</v>
      </c>
      <c r="I21" s="333">
        <f t="shared" si="5"/>
        <v>0</v>
      </c>
      <c r="J21"/>
      <c r="K21"/>
      <c r="L21"/>
      <c r="M21"/>
      <c r="N21"/>
      <c r="O21"/>
      <c r="P21"/>
    </row>
    <row r="22" spans="1:16" x14ac:dyDescent="0.25">
      <c r="A22" s="277"/>
      <c r="B22" s="328" t="s">
        <v>85</v>
      </c>
      <c r="C22" s="329">
        <v>181760</v>
      </c>
      <c r="D22" s="330">
        <v>180927</v>
      </c>
      <c r="E22" s="331">
        <f>TC!B11</f>
        <v>180927</v>
      </c>
      <c r="F22" s="332">
        <f t="shared" si="2"/>
        <v>-4.5829665492957972E-3</v>
      </c>
      <c r="G22" s="333">
        <f t="shared" si="3"/>
        <v>-833</v>
      </c>
      <c r="H22" s="332">
        <f t="shared" si="4"/>
        <v>0</v>
      </c>
      <c r="I22" s="333">
        <f t="shared" si="5"/>
        <v>0</v>
      </c>
      <c r="J22" s="130"/>
      <c r="K22" s="130"/>
      <c r="L22" s="130"/>
      <c r="M22" s="130"/>
      <c r="N22" s="130"/>
      <c r="O22" s="130"/>
      <c r="P22" s="130"/>
    </row>
    <row r="23" spans="1:16" x14ac:dyDescent="0.25">
      <c r="A23" s="277"/>
      <c r="B23" s="328" t="s">
        <v>86</v>
      </c>
      <c r="C23" s="329">
        <v>7213564</v>
      </c>
      <c r="D23" s="330">
        <v>6966443.5115057025</v>
      </c>
      <c r="E23" s="331">
        <f>FFC!C18</f>
        <v>6915716.9810821163</v>
      </c>
      <c r="F23" s="332">
        <f t="shared" si="2"/>
        <v>-4.1289856015401472E-2</v>
      </c>
      <c r="G23" s="333">
        <f t="shared" si="3"/>
        <v>-297847.01891788375</v>
      </c>
      <c r="H23" s="332">
        <f t="shared" si="4"/>
        <v>-7.2815533980583602E-3</v>
      </c>
      <c r="I23" s="333">
        <f t="shared" si="5"/>
        <v>-50726.530423586257</v>
      </c>
      <c r="J23" s="130"/>
      <c r="K23" s="130"/>
      <c r="L23" s="130"/>
      <c r="M23" s="130"/>
      <c r="N23" s="130"/>
      <c r="O23" s="130"/>
      <c r="P23" s="130"/>
    </row>
    <row r="24" spans="1:16" x14ac:dyDescent="0.25">
      <c r="A24" s="277"/>
      <c r="B24" s="328" t="s">
        <v>87</v>
      </c>
      <c r="C24" s="329">
        <v>2536250</v>
      </c>
      <c r="D24" s="330">
        <v>2421886.2443138608</v>
      </c>
      <c r="E24" s="331">
        <f>LC!E22</f>
        <v>2404251.1503018662</v>
      </c>
      <c r="F24" s="332">
        <f t="shared" si="2"/>
        <v>-5.204488898891424E-2</v>
      </c>
      <c r="G24" s="333">
        <f t="shared" si="3"/>
        <v>-131998.84969813377</v>
      </c>
      <c r="H24" s="332">
        <f t="shared" si="4"/>
        <v>-7.2815533980584712E-3</v>
      </c>
      <c r="I24" s="333">
        <f t="shared" si="5"/>
        <v>-17635.094011994544</v>
      </c>
      <c r="J24" s="130"/>
      <c r="K24" s="130"/>
      <c r="L24" s="130"/>
      <c r="M24" s="130"/>
      <c r="N24" s="130"/>
      <c r="O24" s="130"/>
      <c r="P24" s="130"/>
    </row>
    <row r="25" spans="1:16" x14ac:dyDescent="0.25">
      <c r="A25" s="277"/>
      <c r="B25" s="337" t="s">
        <v>13</v>
      </c>
      <c r="C25" s="338">
        <v>3.5099999999999999E-2</v>
      </c>
      <c r="D25" s="339">
        <v>3.3444672331282232E-2</v>
      </c>
      <c r="E25" s="336">
        <f>WACC!B20</f>
        <v>5.1995129411764707E-2</v>
      </c>
      <c r="F25" s="340">
        <f t="shared" si="2"/>
        <v>0.48134271828389474</v>
      </c>
      <c r="G25" s="341">
        <f t="shared" si="3"/>
        <v>1.6895129411764707E-2</v>
      </c>
      <c r="H25" s="340">
        <f t="shared" si="4"/>
        <v>0.55466105024839596</v>
      </c>
      <c r="I25" s="341">
        <f t="shared" si="5"/>
        <v>1.8550457080482474E-2</v>
      </c>
      <c r="J25" s="130"/>
      <c r="K25" s="130"/>
      <c r="L25" s="130"/>
      <c r="M25" s="130"/>
      <c r="N25" s="130"/>
      <c r="O25" s="130"/>
      <c r="P25" s="130"/>
    </row>
    <row r="26" spans="1:16" x14ac:dyDescent="0.25">
      <c r="A26" s="277"/>
      <c r="B26" s="328" t="s">
        <v>88</v>
      </c>
      <c r="C26" s="329">
        <v>194116340</v>
      </c>
      <c r="D26" s="330">
        <v>185038881.18821448</v>
      </c>
      <c r="E26" s="331">
        <f>ANNUALISED_CAP_COST!B24</f>
        <v>186622113.56354684</v>
      </c>
      <c r="F26" s="332">
        <f t="shared" si="2"/>
        <v>-3.8606880989272563E-2</v>
      </c>
      <c r="G26" s="333">
        <f t="shared" si="3"/>
        <v>-7494226.4364531636</v>
      </c>
      <c r="H26" s="332">
        <f t="shared" si="4"/>
        <v>8.5562145921209698E-3</v>
      </c>
      <c r="I26" s="333">
        <f t="shared" si="5"/>
        <v>1583232.3753323555</v>
      </c>
      <c r="J26" s="130"/>
      <c r="K26" s="130"/>
      <c r="L26" s="130"/>
      <c r="M26" s="130"/>
      <c r="N26" s="130"/>
      <c r="O26" s="130"/>
      <c r="P26" s="130"/>
    </row>
    <row r="27" spans="1:16" x14ac:dyDescent="0.25">
      <c r="A27" s="277"/>
      <c r="B27" s="328" t="s">
        <v>220</v>
      </c>
      <c r="C27" s="329">
        <v>14600</v>
      </c>
      <c r="D27" s="330">
        <v>13931.362506327137</v>
      </c>
      <c r="E27" s="331">
        <f>'ANNUALISED_FIXED_O&amp;M'!C34</f>
        <v>13931.362506327145</v>
      </c>
      <c r="F27" s="332">
        <f t="shared" si="2"/>
        <v>-4.5797088607729797E-2</v>
      </c>
      <c r="G27" s="333">
        <f t="shared" si="3"/>
        <v>-668.63749367285527</v>
      </c>
      <c r="H27" s="332">
        <f t="shared" si="4"/>
        <v>0</v>
      </c>
      <c r="I27" s="333">
        <f t="shared" si="5"/>
        <v>0</v>
      </c>
      <c r="J27" s="130"/>
      <c r="K27" s="130"/>
      <c r="L27" s="130"/>
      <c r="M27" s="130"/>
      <c r="N27" s="130"/>
      <c r="O27" s="130"/>
      <c r="P27" s="130"/>
    </row>
    <row r="28" spans="1:16" x14ac:dyDescent="0.25">
      <c r="A28" s="277"/>
      <c r="B28" s="328" t="s">
        <v>221</v>
      </c>
      <c r="C28" s="342">
        <v>543.83000000000004</v>
      </c>
      <c r="D28" s="343">
        <v>543.71504072888922</v>
      </c>
      <c r="E28" s="344">
        <f>'ANNUALISED_FIXED_O&amp;M'!C68</f>
        <v>543.71504072888945</v>
      </c>
      <c r="F28" s="332">
        <f t="shared" si="2"/>
        <v>-2.1138824836919312E-4</v>
      </c>
      <c r="G28" s="333">
        <f t="shared" si="3"/>
        <v>-0.11495927111059245</v>
      </c>
      <c r="H28" s="332">
        <f t="shared" si="4"/>
        <v>0</v>
      </c>
      <c r="I28" s="333">
        <f t="shared" si="5"/>
        <v>0</v>
      </c>
      <c r="J28" s="130"/>
      <c r="K28" s="130"/>
      <c r="L28" s="130"/>
      <c r="M28" s="130"/>
      <c r="N28" s="130"/>
      <c r="O28" s="130"/>
      <c r="P28" s="130"/>
    </row>
    <row r="29" spans="1:16" x14ac:dyDescent="0.25">
      <c r="A29" s="277"/>
      <c r="B29" s="328" t="s">
        <v>222</v>
      </c>
      <c r="C29" s="342">
        <v>33.950000000000003</v>
      </c>
      <c r="D29" s="343">
        <v>33.935105514695117</v>
      </c>
      <c r="E29" s="344">
        <f>'ANNUALISED_FIXED_O&amp;M'!C102</f>
        <v>33.935105514695152</v>
      </c>
      <c r="F29" s="332">
        <f t="shared" si="2"/>
        <v>-4.3871827112962336E-4</v>
      </c>
      <c r="G29" s="333">
        <f t="shared" si="3"/>
        <v>-1.4894485304850491E-2</v>
      </c>
      <c r="H29" s="332">
        <f t="shared" si="4"/>
        <v>0</v>
      </c>
      <c r="I29" s="333">
        <f t="shared" si="5"/>
        <v>0</v>
      </c>
      <c r="J29" s="130"/>
      <c r="K29" s="130"/>
      <c r="L29" s="130"/>
      <c r="M29" s="130"/>
      <c r="N29" s="130"/>
      <c r="O29" s="130"/>
      <c r="P29" s="130"/>
    </row>
    <row r="30" spans="1:16" x14ac:dyDescent="0.25">
      <c r="A30" s="277"/>
      <c r="B30" s="328" t="s">
        <v>101</v>
      </c>
      <c r="C30" s="329">
        <v>5393</v>
      </c>
      <c r="D30" s="330">
        <v>6356.4305066126772</v>
      </c>
      <c r="E30" s="331">
        <f>'ANNUALISED_FIXED_O&amp;M'!C127</f>
        <v>6477.3581220379901</v>
      </c>
      <c r="F30" s="332">
        <f t="shared" si="2"/>
        <v>0.20106770295531051</v>
      </c>
      <c r="G30" s="333">
        <f t="shared" si="3"/>
        <v>1084.3581220379901</v>
      </c>
      <c r="H30" s="332">
        <f t="shared" si="4"/>
        <v>1.9024453315348966E-2</v>
      </c>
      <c r="I30" s="333">
        <f t="shared" si="5"/>
        <v>120.92761542531298</v>
      </c>
      <c r="J30" s="130"/>
      <c r="K30" s="130"/>
      <c r="L30" s="130"/>
      <c r="M30" s="130"/>
      <c r="N30" s="130"/>
      <c r="O30" s="130"/>
      <c r="P30" s="130"/>
    </row>
    <row r="31" spans="1:16" x14ac:dyDescent="0.25">
      <c r="A31" s="279"/>
      <c r="B31" s="328" t="s">
        <v>100</v>
      </c>
      <c r="C31" s="329">
        <v>10596</v>
      </c>
      <c r="D31" s="330">
        <v>11122.052846416655</v>
      </c>
      <c r="E31" s="331">
        <f>'ANNUALISED_FIXED_O&amp;M'!C146</f>
        <v>11041.288096116548</v>
      </c>
      <c r="F31" s="332">
        <f t="shared" si="2"/>
        <v>4.202416913142204E-2</v>
      </c>
      <c r="G31" s="333">
        <f t="shared" si="3"/>
        <v>445.28809611654833</v>
      </c>
      <c r="H31" s="332">
        <f t="shared" si="4"/>
        <v>-7.2616765461717137E-3</v>
      </c>
      <c r="I31" s="333">
        <f t="shared" si="5"/>
        <v>-80.764750300106243</v>
      </c>
      <c r="J31" s="130"/>
      <c r="K31" s="130"/>
      <c r="L31" s="130"/>
      <c r="M31" s="130"/>
      <c r="N31" s="130"/>
      <c r="O31" s="130"/>
      <c r="P31" s="130"/>
    </row>
    <row r="32" spans="1:16" x14ac:dyDescent="0.25">
      <c r="A32" s="277"/>
      <c r="B32" s="328" t="s">
        <v>223</v>
      </c>
      <c r="C32" s="334">
        <v>9.7999999999999997E-3</v>
      </c>
      <c r="D32" s="335">
        <v>9.4097322278225981E-3</v>
      </c>
      <c r="E32" s="336">
        <f>'WACC nominal risk free rate'!F28</f>
        <v>8.0186742073808936E-3</v>
      </c>
      <c r="F32" s="332">
        <f t="shared" si="2"/>
        <v>-0.1817679380223578</v>
      </c>
      <c r="G32" s="333">
        <f t="shared" si="3"/>
        <v>-1.781325792619106E-3</v>
      </c>
      <c r="H32" s="332">
        <f t="shared" si="4"/>
        <v>-0.14783183907493547</v>
      </c>
      <c r="I32" s="333">
        <f t="shared" si="5"/>
        <v>-1.3910580204417045E-3</v>
      </c>
      <c r="J32" s="130"/>
      <c r="K32" s="130"/>
      <c r="L32" s="163"/>
      <c r="M32" s="130"/>
      <c r="N32" s="130"/>
      <c r="O32" s="130"/>
      <c r="P32" s="130"/>
    </row>
    <row r="33" spans="1:14" ht="15" x14ac:dyDescent="0.25">
      <c r="A33" s="277"/>
      <c r="B33" s="328" t="s">
        <v>224</v>
      </c>
      <c r="C33" s="334">
        <v>2.3599999999999999E-2</v>
      </c>
      <c r="D33" s="335">
        <v>2.3855073061104237E-2</v>
      </c>
      <c r="E33" s="345">
        <f>'WACC expected inflation'!C7</f>
        <v>2.3175068905108898E-2</v>
      </c>
      <c r="F33" s="332">
        <f t="shared" si="2"/>
        <v>-1.8005554868267049E-2</v>
      </c>
      <c r="G33" s="333">
        <f t="shared" si="3"/>
        <v>-4.2493109489110184E-4</v>
      </c>
      <c r="H33" s="332">
        <f t="shared" si="4"/>
        <v>-2.8505641305458296E-2</v>
      </c>
      <c r="I33" s="333">
        <f t="shared" si="5"/>
        <v>-6.8000415599533959E-4</v>
      </c>
      <c r="J33" s="158"/>
      <c r="K33" s="158"/>
      <c r="L33" s="159"/>
      <c r="N33" s="159"/>
    </row>
    <row r="34" spans="1:14" ht="15" x14ac:dyDescent="0.25">
      <c r="A34" s="277"/>
      <c r="B34" s="328" t="s">
        <v>225</v>
      </c>
      <c r="C34" s="334">
        <v>-1.35E-2</v>
      </c>
      <c r="D34" s="335">
        <v>-1.4151772634046433E-2</v>
      </c>
      <c r="E34" s="345">
        <f>WACC!C6/100</f>
        <v>-1.483678655199383E-2</v>
      </c>
      <c r="F34" s="332">
        <f t="shared" si="2"/>
        <v>9.9021226073616964E-2</v>
      </c>
      <c r="G34" s="333">
        <f t="shared" si="3"/>
        <v>-1.3367865519938304E-3</v>
      </c>
      <c r="H34" s="332">
        <f t="shared" si="4"/>
        <v>4.8404813705061001E-2</v>
      </c>
      <c r="I34" s="333">
        <f t="shared" si="5"/>
        <v>-6.8501391794739686E-4</v>
      </c>
      <c r="J34" s="158"/>
      <c r="K34" s="158"/>
      <c r="L34" s="159"/>
      <c r="N34" s="159"/>
    </row>
    <row r="35" spans="1:14" ht="15" x14ac:dyDescent="0.25">
      <c r="A35" s="277"/>
      <c r="B35" s="328" t="s">
        <v>226</v>
      </c>
      <c r="C35" s="334">
        <v>2.23E-2</v>
      </c>
      <c r="D35" s="335">
        <v>2.0099999999999996E-2</v>
      </c>
      <c r="E35" s="345">
        <f>WACC!C10/100</f>
        <v>2.0400000000000001E-2</v>
      </c>
      <c r="F35" s="332">
        <f t="shared" si="2"/>
        <v>-8.5201793721973007E-2</v>
      </c>
      <c r="G35" s="333">
        <f t="shared" si="3"/>
        <v>-1.8999999999999989E-3</v>
      </c>
      <c r="H35" s="332">
        <f t="shared" si="4"/>
        <v>1.4925373134328623E-2</v>
      </c>
      <c r="I35" s="333">
        <f t="shared" si="5"/>
        <v>3.0000000000000512E-4</v>
      </c>
      <c r="J35" s="158"/>
      <c r="K35" s="158"/>
      <c r="L35" s="159"/>
      <c r="N35" s="159"/>
    </row>
    <row r="36" spans="1:14" ht="15" x14ac:dyDescent="0.25">
      <c r="A36" s="277"/>
      <c r="B36" s="328" t="s">
        <v>227</v>
      </c>
      <c r="C36" s="329">
        <v>4890365</v>
      </c>
      <c r="D36" s="330">
        <v>4713126.7875000006</v>
      </c>
      <c r="E36" s="346">
        <f>LC!B32</f>
        <v>4678807.9031250002</v>
      </c>
      <c r="F36" s="332">
        <f t="shared" si="2"/>
        <v>-4.3259980977902401E-2</v>
      </c>
      <c r="G36" s="333">
        <f t="shared" si="3"/>
        <v>-211557.09687499981</v>
      </c>
      <c r="H36" s="332">
        <f t="shared" si="4"/>
        <v>-7.2815533980583602E-3</v>
      </c>
      <c r="I36" s="333">
        <f t="shared" si="5"/>
        <v>-34318.884375000373</v>
      </c>
      <c r="J36" s="158"/>
      <c r="K36" s="158"/>
      <c r="L36" s="159"/>
      <c r="N36" s="159"/>
    </row>
    <row r="37" spans="1:14" x14ac:dyDescent="0.25">
      <c r="A37" s="277"/>
      <c r="B37" s="328" t="s">
        <v>228</v>
      </c>
      <c r="C37" s="329">
        <v>24101215</v>
      </c>
      <c r="D37" s="330">
        <v>23223271</v>
      </c>
      <c r="E37" s="347">
        <v>23223271</v>
      </c>
      <c r="F37" s="332">
        <f t="shared" si="2"/>
        <v>-3.6427375134407081E-2</v>
      </c>
      <c r="G37" s="333">
        <f t="shared" si="3"/>
        <v>-877944</v>
      </c>
      <c r="H37" s="332">
        <f t="shared" si="4"/>
        <v>0</v>
      </c>
      <c r="I37" s="333">
        <f t="shared" si="5"/>
        <v>0</v>
      </c>
    </row>
    <row r="38" spans="1:14" x14ac:dyDescent="0.25">
      <c r="A38" s="277"/>
      <c r="B38" s="328" t="s">
        <v>229</v>
      </c>
      <c r="C38" s="325">
        <v>0.81379999999999997</v>
      </c>
      <c r="D38" s="348">
        <v>0.46400000000000002</v>
      </c>
      <c r="E38" s="349">
        <v>0.46400000000000002</v>
      </c>
      <c r="F38" s="332">
        <f t="shared" si="2"/>
        <v>-0.42983534037847126</v>
      </c>
      <c r="G38" s="333">
        <f t="shared" ref="G38:G39" si="6">E38-D38</f>
        <v>0</v>
      </c>
      <c r="H38" s="332">
        <f t="shared" si="4"/>
        <v>0</v>
      </c>
      <c r="I38" s="333">
        <f t="shared" si="5"/>
        <v>0</v>
      </c>
    </row>
    <row r="39" spans="1:14" x14ac:dyDescent="0.25">
      <c r="A39" s="277"/>
      <c r="B39" s="328" t="s">
        <v>216</v>
      </c>
      <c r="C39" s="328"/>
      <c r="D39" s="350">
        <v>152.28</v>
      </c>
      <c r="E39" s="351">
        <f>PC!C4</f>
        <v>152.28</v>
      </c>
      <c r="F39" s="332"/>
      <c r="G39" s="333">
        <f t="shared" si="6"/>
        <v>0</v>
      </c>
      <c r="H39" s="332">
        <f t="shared" si="4"/>
        <v>0</v>
      </c>
      <c r="I39" s="333">
        <f t="shared" si="5"/>
        <v>0</v>
      </c>
      <c r="J39" s="130"/>
      <c r="K39" s="130"/>
    </row>
    <row r="40" spans="1:14" x14ac:dyDescent="0.25">
      <c r="A40" s="277"/>
      <c r="B40" s="328" t="s">
        <v>233</v>
      </c>
      <c r="C40" s="328"/>
      <c r="D40" s="335">
        <v>3.686E-3</v>
      </c>
      <c r="E40" s="352">
        <v>3.686E-3</v>
      </c>
      <c r="F40" s="332"/>
      <c r="G40" s="353"/>
      <c r="H40" s="332">
        <f t="shared" si="4"/>
        <v>0</v>
      </c>
      <c r="I40" s="333">
        <f t="shared" si="5"/>
        <v>0</v>
      </c>
    </row>
    <row r="48" spans="1:14" x14ac:dyDescent="0.25">
      <c r="E48" s="161"/>
    </row>
    <row r="52" spans="6:6" ht="15.6" x14ac:dyDescent="0.3">
      <c r="F52" s="160"/>
    </row>
  </sheetData>
  <sheetProtection algorithmName="SHA-512" hashValue="Xy3L9T1xQVynOpgggjlnDhvwcGPi9h7qxOmuy1opknTvcW3unZNJ3Ty4nRUt4SswmlfATEyBuRMoAJ+XXGc79A==" saltValue="Rg//2cFPKQ6xSwyaPfK5Kw==" spinCount="100000" sheet="1" objects="1" scenarios="1" formatCells="0" formatColumns="0"/>
  <mergeCells count="2">
    <mergeCell ref="H16:I16"/>
    <mergeCell ref="F16:G16"/>
  </mergeCells>
  <pageMargins left="0.7" right="0.7" top="0.75" bottom="0.75" header="0.3" footer="0.3"/>
  <pageSetup paperSize="9" scale="7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7860-F17A-4E99-A7F1-7461BAEA7AA5}">
  <dimension ref="D1:AE51"/>
  <sheetViews>
    <sheetView showGridLines="0" zoomScaleNormal="100" workbookViewId="0">
      <selection activeCell="P30" sqref="P30"/>
    </sheetView>
  </sheetViews>
  <sheetFormatPr defaultColWidth="8.88671875" defaultRowHeight="16.8" x14ac:dyDescent="0.4"/>
  <cols>
    <col min="1" max="4" width="8.88671875" style="150"/>
    <col min="5" max="5" width="9.6640625" style="150" customWidth="1"/>
    <col min="6" max="6" width="12.6640625" style="150" bestFit="1" customWidth="1"/>
    <col min="7" max="7" width="8.88671875" style="150"/>
    <col min="8" max="8" width="10.33203125" style="150" customWidth="1"/>
    <col min="9" max="9" width="9.77734375" style="150" bestFit="1" customWidth="1"/>
    <col min="10" max="16384" width="8.88671875" style="150"/>
  </cols>
  <sheetData>
    <row r="1" spans="4:15" ht="17.399999999999999" thickBot="1" x14ac:dyDescent="0.45">
      <c r="E1" s="369" t="s">
        <v>230</v>
      </c>
      <c r="F1" s="370"/>
      <c r="G1" s="370"/>
      <c r="H1" s="370"/>
      <c r="I1" s="370"/>
    </row>
    <row r="2" spans="4:15" ht="27" thickBot="1" x14ac:dyDescent="0.45">
      <c r="E2" s="371" t="s">
        <v>209</v>
      </c>
      <c r="F2" s="372">
        <f>'Changes from previous BRCP'!E4</f>
        <v>141900</v>
      </c>
      <c r="G2" s="370"/>
      <c r="H2" s="373" t="s">
        <v>209</v>
      </c>
      <c r="I2" s="374">
        <v>141900</v>
      </c>
    </row>
    <row r="3" spans="4:15" ht="40.200000000000003" thickBot="1" x14ac:dyDescent="0.45">
      <c r="D3" s="162"/>
      <c r="E3" s="375" t="s">
        <v>211</v>
      </c>
      <c r="F3" s="376">
        <f>'Changes from previous BRCP'!C6</f>
        <v>7600</v>
      </c>
      <c r="G3" s="370"/>
      <c r="H3" s="377" t="s">
        <v>231</v>
      </c>
      <c r="I3" s="378">
        <v>-13100</v>
      </c>
    </row>
    <row r="4" spans="4:15" ht="27" thickBot="1" x14ac:dyDescent="0.45">
      <c r="D4" s="162"/>
      <c r="E4" s="375" t="s">
        <v>215</v>
      </c>
      <c r="F4" s="376">
        <f>'Changes from previous BRCP'!C10</f>
        <v>-100</v>
      </c>
      <c r="G4" s="370"/>
      <c r="H4" s="377" t="s">
        <v>212</v>
      </c>
      <c r="I4" s="378">
        <v>-400</v>
      </c>
    </row>
    <row r="5" spans="4:15" ht="27" thickBot="1" x14ac:dyDescent="0.45">
      <c r="D5" s="162"/>
      <c r="E5" s="375" t="s">
        <v>217</v>
      </c>
      <c r="F5" s="376">
        <f>'Changes from previous BRCP'!C13</f>
        <v>1800</v>
      </c>
      <c r="G5" s="370"/>
      <c r="H5" s="377" t="s">
        <v>213</v>
      </c>
      <c r="I5" s="378">
        <v>-200</v>
      </c>
      <c r="O5" s="151"/>
    </row>
    <row r="6" spans="4:15" ht="27" thickBot="1" x14ac:dyDescent="0.45">
      <c r="D6" s="162"/>
      <c r="E6" s="379" t="s">
        <v>216</v>
      </c>
      <c r="F6" s="380">
        <f>'Changes from previous BRCP'!C12</f>
        <v>0</v>
      </c>
      <c r="G6" s="370"/>
      <c r="H6" s="381" t="s">
        <v>215</v>
      </c>
      <c r="I6" s="382">
        <v>-100</v>
      </c>
    </row>
    <row r="7" spans="4:15" ht="27" thickBot="1" x14ac:dyDescent="0.45">
      <c r="D7" s="162"/>
      <c r="E7" s="375" t="s">
        <v>213</v>
      </c>
      <c r="F7" s="376">
        <f>'Changes from previous BRCP'!C8</f>
        <v>-200</v>
      </c>
      <c r="G7" s="370"/>
      <c r="H7" s="377" t="s">
        <v>216</v>
      </c>
      <c r="I7" s="378">
        <v>0</v>
      </c>
    </row>
    <row r="8" spans="4:15" ht="17.399999999999999" thickBot="1" x14ac:dyDescent="0.45">
      <c r="D8" s="162"/>
      <c r="E8" s="375" t="s">
        <v>214</v>
      </c>
      <c r="F8" s="376">
        <f>'Changes from previous BRCP'!C9</f>
        <v>0</v>
      </c>
      <c r="G8" s="370"/>
      <c r="H8" s="377" t="s">
        <v>214</v>
      </c>
      <c r="I8" s="378">
        <v>0</v>
      </c>
    </row>
    <row r="9" spans="4:15" ht="17.399999999999999" thickBot="1" x14ac:dyDescent="0.45">
      <c r="D9" s="162"/>
      <c r="E9" s="375" t="s">
        <v>212</v>
      </c>
      <c r="F9" s="376">
        <f>'Changes from previous BRCP'!C7</f>
        <v>-400</v>
      </c>
      <c r="G9" s="370"/>
      <c r="H9" s="377" t="s">
        <v>217</v>
      </c>
      <c r="I9" s="378">
        <v>1800</v>
      </c>
    </row>
    <row r="10" spans="4:15" ht="27.75" customHeight="1" thickBot="1" x14ac:dyDescent="0.45">
      <c r="D10" s="162"/>
      <c r="E10" s="375" t="s">
        <v>13</v>
      </c>
      <c r="F10" s="376">
        <f>'Changes from previous BRCP'!C11</f>
        <v>14200</v>
      </c>
      <c r="G10" s="370"/>
      <c r="H10" s="377" t="s">
        <v>211</v>
      </c>
      <c r="I10" s="378">
        <v>7600</v>
      </c>
    </row>
    <row r="11" spans="4:15" ht="27" thickBot="1" x14ac:dyDescent="0.45">
      <c r="D11" s="162"/>
      <c r="E11" s="375" t="s">
        <v>231</v>
      </c>
      <c r="F11" s="376">
        <f>'Changes from previous BRCP'!C5</f>
        <v>-13100</v>
      </c>
      <c r="G11" s="370"/>
      <c r="H11" s="377" t="s">
        <v>13</v>
      </c>
      <c r="I11" s="378">
        <v>14200</v>
      </c>
    </row>
    <row r="12" spans="4:15" ht="40.200000000000003" thickBot="1" x14ac:dyDescent="0.45">
      <c r="E12" s="383" t="s">
        <v>232</v>
      </c>
      <c r="F12" s="372">
        <f>'Changes from previous BRCP'!E14</f>
        <v>151700</v>
      </c>
      <c r="G12" s="370"/>
      <c r="H12" s="384" t="s">
        <v>232</v>
      </c>
      <c r="I12" s="374">
        <v>151700</v>
      </c>
    </row>
    <row r="50" spans="25:31" x14ac:dyDescent="0.4">
      <c r="Y50"/>
      <c r="Z50"/>
      <c r="AA50"/>
      <c r="AB50"/>
      <c r="AC50"/>
      <c r="AD50"/>
      <c r="AE50"/>
    </row>
    <row r="51" spans="25:31" x14ac:dyDescent="0.4">
      <c r="Y51"/>
      <c r="Z51"/>
      <c r="AA51"/>
      <c r="AB51"/>
      <c r="AC51"/>
      <c r="AD51"/>
      <c r="AE51"/>
    </row>
  </sheetData>
  <sheetProtection algorithmName="SHA-512" hashValue="ZePT/01HG1HDh8iQ+dyHjvysrP0z3fb5pMo/7UFi/XCXxq8Jbrjgc+0WQfbcneCwDR+mTYhF80uHDdzFi2ZOcg==" saltValue="IC2+6TnYoPnTk+qZUri9uA==" spinCount="100000" sheet="1" objects="1" scenarios="1" formatCells="0" formatColumns="0"/>
  <sortState xmlns:xlrd2="http://schemas.microsoft.com/office/spreadsheetml/2017/richdata2" ref="H3:I11">
    <sortCondition ref="I3:I11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F22"/>
  <sheetViews>
    <sheetView showGridLines="0" zoomScale="85" zoomScaleNormal="100" workbookViewId="0">
      <selection activeCell="A11" sqref="A11"/>
    </sheetView>
  </sheetViews>
  <sheetFormatPr defaultColWidth="82.44140625" defaultRowHeight="13.2" x14ac:dyDescent="0.25"/>
  <cols>
    <col min="1" max="1" width="136" style="75" customWidth="1"/>
    <col min="2" max="2" width="24.6640625" style="14" customWidth="1"/>
    <col min="3" max="3" width="21.33203125" style="76" bestFit="1" customWidth="1"/>
    <col min="4" max="4" width="31" style="64" customWidth="1"/>
    <col min="5" max="5" width="16" style="64" customWidth="1"/>
    <col min="6" max="16384" width="82.44140625" style="64"/>
  </cols>
  <sheetData>
    <row r="1" spans="1:6" s="8" customFormat="1" ht="18" thickBot="1" x14ac:dyDescent="0.35">
      <c r="A1" s="58" t="s">
        <v>152</v>
      </c>
      <c r="B1" s="46"/>
      <c r="C1" s="47"/>
      <c r="D1" s="59"/>
      <c r="E1" s="60"/>
      <c r="F1" s="60"/>
    </row>
    <row r="2" spans="1:6" ht="13.8" thickBot="1" x14ac:dyDescent="0.3">
      <c r="A2" s="61"/>
      <c r="B2" s="62"/>
      <c r="C2" s="63"/>
      <c r="D2" s="23"/>
      <c r="E2" s="23"/>
      <c r="F2" s="23"/>
    </row>
    <row r="3" spans="1:6" ht="13.8" thickBot="1" x14ac:dyDescent="0.3">
      <c r="A3" s="65" t="s">
        <v>153</v>
      </c>
      <c r="B3" s="35">
        <f>B10+B13/B16</f>
        <v>151694.60716682399</v>
      </c>
      <c r="C3" s="66" t="s">
        <v>23</v>
      </c>
      <c r="D3" s="23"/>
      <c r="E3" s="23"/>
      <c r="F3" s="23"/>
    </row>
    <row r="4" spans="1:6" ht="13.8" thickBot="1" x14ac:dyDescent="0.3">
      <c r="A4" s="65" t="s">
        <v>256</v>
      </c>
      <c r="B4" s="35">
        <f>'ANNUALISED_FIXED_O&amp;M'!B112</f>
        <v>151700</v>
      </c>
      <c r="C4" s="66" t="s">
        <v>23</v>
      </c>
      <c r="D4" s="23"/>
      <c r="E4" s="23"/>
      <c r="F4" s="23"/>
    </row>
    <row r="5" spans="1:6" x14ac:dyDescent="0.25">
      <c r="B5" s="67"/>
      <c r="C5" s="66"/>
      <c r="D5" s="23"/>
      <c r="E5" s="23"/>
      <c r="F5" s="23"/>
    </row>
    <row r="6" spans="1:6" x14ac:dyDescent="0.25">
      <c r="A6" s="65"/>
      <c r="B6" s="67"/>
      <c r="C6" s="66"/>
      <c r="D6" s="23"/>
      <c r="E6" s="23"/>
      <c r="F6" s="23"/>
    </row>
    <row r="7" spans="1:6" x14ac:dyDescent="0.25">
      <c r="A7" s="65" t="s">
        <v>154</v>
      </c>
      <c r="B7" s="67"/>
      <c r="C7" s="66"/>
      <c r="D7" s="23"/>
      <c r="E7" s="23"/>
      <c r="F7" s="23"/>
    </row>
    <row r="8" spans="1:6" x14ac:dyDescent="0.25">
      <c r="A8" s="134" t="s">
        <v>155</v>
      </c>
      <c r="B8" s="67"/>
      <c r="C8" s="66"/>
      <c r="D8" s="23"/>
      <c r="E8" s="23"/>
      <c r="F8" s="23"/>
    </row>
    <row r="9" spans="1:6" ht="13.8" thickBot="1" x14ac:dyDescent="0.3">
      <c r="A9" s="68"/>
      <c r="B9" s="67"/>
      <c r="C9" s="66"/>
      <c r="D9" s="23"/>
      <c r="E9" s="23"/>
      <c r="F9" s="23"/>
    </row>
    <row r="10" spans="1:6" ht="13.8" thickBot="1" x14ac:dyDescent="0.3">
      <c r="A10" s="65" t="s">
        <v>79</v>
      </c>
      <c r="B10" s="35">
        <f>'ANNUALISED_FIXED_O&amp;M'!C149</f>
        <v>32027.658870725267</v>
      </c>
      <c r="C10" s="66" t="s">
        <v>23</v>
      </c>
      <c r="D10" s="23"/>
      <c r="E10" s="23"/>
      <c r="F10" s="23"/>
    </row>
    <row r="11" spans="1:6" ht="26.4" x14ac:dyDescent="0.25">
      <c r="A11" s="68" t="s">
        <v>80</v>
      </c>
      <c r="B11" s="67"/>
      <c r="C11" s="66"/>
      <c r="D11" s="23"/>
      <c r="E11" s="23"/>
      <c r="F11" s="23"/>
    </row>
    <row r="12" spans="1:6" ht="13.8" thickBot="1" x14ac:dyDescent="0.3">
      <c r="A12" s="68"/>
      <c r="B12" s="67"/>
      <c r="C12" s="66"/>
      <c r="D12" s="23"/>
      <c r="E12" s="23"/>
      <c r="F12" s="23"/>
    </row>
    <row r="13" spans="1:6" ht="13.8" thickBot="1" x14ac:dyDescent="0.3">
      <c r="A13" s="65" t="s">
        <v>81</v>
      </c>
      <c r="B13" s="35">
        <f>ANNUALISED_CAP_COST!B28</f>
        <v>18222882.886529915</v>
      </c>
      <c r="C13" s="66" t="s">
        <v>22</v>
      </c>
      <c r="D13" s="23"/>
      <c r="E13" s="23"/>
      <c r="F13" s="23"/>
    </row>
    <row r="14" spans="1:6" ht="26.4" x14ac:dyDescent="0.25">
      <c r="A14" s="68" t="s">
        <v>82</v>
      </c>
      <c r="B14" s="69"/>
      <c r="C14" s="66"/>
      <c r="D14" s="23"/>
      <c r="E14" s="70"/>
      <c r="F14" s="23"/>
    </row>
    <row r="15" spans="1:6" ht="13.8" thickBot="1" x14ac:dyDescent="0.3">
      <c r="A15" s="68"/>
      <c r="B15" s="69"/>
      <c r="C15" s="66"/>
      <c r="D15" s="23"/>
      <c r="E15" s="70"/>
      <c r="F15" s="23"/>
    </row>
    <row r="16" spans="1:6" ht="13.8" thickBot="1" x14ac:dyDescent="0.3">
      <c r="A16" s="65" t="s">
        <v>83</v>
      </c>
      <c r="B16" s="103">
        <f>PC!C4</f>
        <v>152.28</v>
      </c>
      <c r="C16" s="66" t="s">
        <v>17</v>
      </c>
      <c r="D16" s="71"/>
      <c r="E16" s="70"/>
      <c r="F16" s="23"/>
    </row>
    <row r="17" spans="1:6" x14ac:dyDescent="0.25">
      <c r="A17" s="68" t="s">
        <v>106</v>
      </c>
      <c r="B17" s="69"/>
      <c r="C17" s="66"/>
      <c r="D17" s="23"/>
      <c r="E17" s="70"/>
      <c r="F17" s="23"/>
    </row>
    <row r="18" spans="1:6" ht="13.8" thickBot="1" x14ac:dyDescent="0.3">
      <c r="A18" s="72"/>
      <c r="B18" s="73"/>
      <c r="C18" s="74"/>
    </row>
    <row r="22" spans="1:6" x14ac:dyDescent="0.25">
      <c r="B22" s="18"/>
    </row>
  </sheetData>
  <sheetProtection algorithmName="SHA-512" hashValue="Or0yMrN3s0L/zR57LEJSwiztoNhSUsUBthWazeMVthWpyBzFsTnoKD0jHNVw+JV6Tyy8Uf7vZ7VS4ufhiL6SSg==" saltValue="CrAFVUyeB38Jo0eUC/IhtQ==" spinCount="100000" sheet="1" objects="1" scenarios="1" formatCells="0" formatColumns="0"/>
  <phoneticPr fontId="8" type="noConversion"/>
  <pageMargins left="0.75" right="0.75" top="1" bottom="1" header="0.5" footer="0.5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F32"/>
  <sheetViews>
    <sheetView showGridLines="0" zoomScaleNormal="80" workbookViewId="0">
      <selection activeCell="A28" sqref="A28"/>
    </sheetView>
  </sheetViews>
  <sheetFormatPr defaultColWidth="9.33203125" defaultRowHeight="13.2" x14ac:dyDescent="0.25"/>
  <cols>
    <col min="1" max="1" width="102.6640625" style="19" customWidth="1"/>
    <col min="2" max="2" width="17" style="24" customWidth="1"/>
    <col min="3" max="3" width="19.33203125" style="48" customWidth="1"/>
    <col min="4" max="4" width="11" style="19" customWidth="1"/>
    <col min="5" max="5" width="9.33203125" style="19"/>
    <col min="6" max="6" width="16.109375" style="19" bestFit="1" customWidth="1"/>
    <col min="7" max="16384" width="9.33203125" style="19"/>
  </cols>
  <sheetData>
    <row r="1" spans="1:3" s="8" customFormat="1" ht="18" thickBot="1" x14ac:dyDescent="0.35">
      <c r="A1" s="6" t="s">
        <v>81</v>
      </c>
      <c r="B1" s="46"/>
      <c r="C1" s="47"/>
    </row>
    <row r="2" spans="1:3" x14ac:dyDescent="0.25">
      <c r="A2" s="26"/>
    </row>
    <row r="3" spans="1:3" x14ac:dyDescent="0.25">
      <c r="A3" s="24" t="s">
        <v>84</v>
      </c>
      <c r="B3" s="42">
        <f>PC!C16</f>
        <v>816437.14351583796</v>
      </c>
      <c r="C3" s="48" t="s">
        <v>20</v>
      </c>
    </row>
    <row r="4" spans="1:3" ht="26.4" x14ac:dyDescent="0.25">
      <c r="A4" s="49" t="s">
        <v>112</v>
      </c>
    </row>
    <row r="5" spans="1:3" x14ac:dyDescent="0.25">
      <c r="A5" s="26"/>
    </row>
    <row r="6" spans="1:3" x14ac:dyDescent="0.25">
      <c r="A6" s="24" t="s">
        <v>15</v>
      </c>
      <c r="B6" s="50">
        <f>M!B3</f>
        <v>0.16692402252697833</v>
      </c>
      <c r="C6" s="48" t="s">
        <v>16</v>
      </c>
    </row>
    <row r="7" spans="1:3" x14ac:dyDescent="0.25">
      <c r="A7" s="49" t="s">
        <v>111</v>
      </c>
    </row>
    <row r="8" spans="1:3" x14ac:dyDescent="0.25">
      <c r="A8" s="49"/>
    </row>
    <row r="9" spans="1:3" x14ac:dyDescent="0.25">
      <c r="A9" s="24" t="s">
        <v>83</v>
      </c>
      <c r="B9" s="104">
        <f>PC!C4</f>
        <v>152.28</v>
      </c>
      <c r="C9" s="48" t="s">
        <v>17</v>
      </c>
    </row>
    <row r="10" spans="1:3" x14ac:dyDescent="0.25">
      <c r="A10" s="49" t="s">
        <v>113</v>
      </c>
    </row>
    <row r="11" spans="1:3" x14ac:dyDescent="0.25">
      <c r="A11" s="26"/>
    </row>
    <row r="12" spans="1:3" x14ac:dyDescent="0.25">
      <c r="A12" s="24" t="s">
        <v>85</v>
      </c>
      <c r="B12" s="42">
        <f>TC!B11</f>
        <v>180927</v>
      </c>
      <c r="C12" s="48" t="s">
        <v>20</v>
      </c>
    </row>
    <row r="13" spans="1:3" x14ac:dyDescent="0.25">
      <c r="A13" s="49" t="s">
        <v>114</v>
      </c>
    </row>
    <row r="14" spans="1:3" x14ac:dyDescent="0.25">
      <c r="A14" s="26"/>
    </row>
    <row r="15" spans="1:3" x14ac:dyDescent="0.25">
      <c r="A15" s="24" t="s">
        <v>86</v>
      </c>
      <c r="B15" s="42">
        <f>FFC!C18</f>
        <v>6915716.9810821163</v>
      </c>
      <c r="C15" s="48" t="s">
        <v>21</v>
      </c>
    </row>
    <row r="16" spans="1:3" x14ac:dyDescent="0.25">
      <c r="A16" s="49" t="s">
        <v>115</v>
      </c>
    </row>
    <row r="17" spans="1:6" x14ac:dyDescent="0.25">
      <c r="A17" s="26"/>
    </row>
    <row r="18" spans="1:6" x14ac:dyDescent="0.25">
      <c r="A18" s="24" t="s">
        <v>87</v>
      </c>
      <c r="B18" s="42">
        <f>LC!E22</f>
        <v>2404251.1503018662</v>
      </c>
      <c r="C18" s="48" t="s">
        <v>21</v>
      </c>
    </row>
    <row r="19" spans="1:6" x14ac:dyDescent="0.25">
      <c r="A19" s="26" t="s">
        <v>116</v>
      </c>
    </row>
    <row r="20" spans="1:6" x14ac:dyDescent="0.25">
      <c r="A20" s="26"/>
    </row>
    <row r="21" spans="1:6" x14ac:dyDescent="0.25">
      <c r="A21" s="24" t="s">
        <v>13</v>
      </c>
      <c r="B21" s="51">
        <f>WACC!B20</f>
        <v>5.1995129411764707E-2</v>
      </c>
      <c r="C21" s="48" t="s">
        <v>16</v>
      </c>
    </row>
    <row r="22" spans="1:6" x14ac:dyDescent="0.25">
      <c r="A22" s="26" t="s">
        <v>117</v>
      </c>
    </row>
    <row r="23" spans="1:6" x14ac:dyDescent="0.25">
      <c r="A23" s="26"/>
    </row>
    <row r="24" spans="1:6" x14ac:dyDescent="0.25">
      <c r="A24" s="24" t="s">
        <v>88</v>
      </c>
      <c r="B24" s="42">
        <f>((B3*(1+B6)+B12)*B9+B15+B18)*(1+B21)^0.5</f>
        <v>186622113.56354684</v>
      </c>
      <c r="C24" s="48" t="s">
        <v>21</v>
      </c>
      <c r="F24" s="152"/>
    </row>
    <row r="25" spans="1:6" x14ac:dyDescent="0.25">
      <c r="A25" s="52"/>
      <c r="B25" s="53"/>
      <c r="C25" s="54"/>
      <c r="F25" s="152"/>
    </row>
    <row r="26" spans="1:6" ht="13.8" thickBot="1" x14ac:dyDescent="0.3">
      <c r="A26" s="24" t="s">
        <v>13</v>
      </c>
      <c r="B26" s="51">
        <f>WACC!B20</f>
        <v>5.1995129411764707E-2</v>
      </c>
      <c r="C26" s="48" t="s">
        <v>16</v>
      </c>
    </row>
    <row r="27" spans="1:6" ht="13.8" thickBot="1" x14ac:dyDescent="0.3">
      <c r="A27" s="24" t="s">
        <v>14</v>
      </c>
      <c r="B27" s="57">
        <v>15</v>
      </c>
      <c r="C27" s="48" t="s">
        <v>18</v>
      </c>
    </row>
    <row r="28" spans="1:6" x14ac:dyDescent="0.25">
      <c r="A28" s="24" t="s">
        <v>81</v>
      </c>
      <c r="B28" s="55">
        <f>-PMT(B26,B27,B24)</f>
        <v>18222882.886529915</v>
      </c>
      <c r="C28" s="48" t="s">
        <v>22</v>
      </c>
    </row>
    <row r="29" spans="1:6" x14ac:dyDescent="0.25">
      <c r="A29" s="26"/>
    </row>
    <row r="30" spans="1:6" x14ac:dyDescent="0.25">
      <c r="A30" s="56" t="s">
        <v>89</v>
      </c>
    </row>
    <row r="31" spans="1:6" x14ac:dyDescent="0.25">
      <c r="A31" s="56" t="s">
        <v>235</v>
      </c>
    </row>
    <row r="32" spans="1:6" x14ac:dyDescent="0.25">
      <c r="A32" s="56" t="s">
        <v>234</v>
      </c>
    </row>
  </sheetData>
  <sheetProtection algorithmName="SHA-512" hashValue="haOL7E4Y7kJRKckhFcTixy9RVCbDFtnvuLt7w2CF1yzzrzWYWXExFbQMZjOyrg6vhulnMpVJ+wg+fxTbXTjspA==" saltValue="SlhHZDY+1OCKZS9aTQpixA==" spinCount="100000" sheet="1" objects="1" scenarios="1" formatCells="0" formatColumns="0"/>
  <phoneticPr fontId="8" type="noConversion"/>
  <conditionalFormatting sqref="B28">
    <cfRule type="expression" priority="1">
      <formula>CELL("protect",A1)=0</formula>
    </cfRule>
  </conditionalFormatting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Q150"/>
  <sheetViews>
    <sheetView showGridLines="0" topLeftCell="A130" zoomScale="85" zoomScaleNormal="85" workbookViewId="0">
      <selection activeCell="C160" sqref="C160"/>
    </sheetView>
  </sheetViews>
  <sheetFormatPr defaultColWidth="9.33203125" defaultRowHeight="13.2" x14ac:dyDescent="0.25"/>
  <cols>
    <col min="1" max="1" width="74.5546875" style="112" bestFit="1" customWidth="1"/>
    <col min="2" max="2" width="26.33203125" style="112" customWidth="1"/>
    <col min="3" max="3" width="20.33203125" style="112" customWidth="1"/>
    <col min="4" max="4" width="20" style="112" customWidth="1"/>
    <col min="5" max="5" width="16.33203125" style="112" bestFit="1" customWidth="1"/>
    <col min="6" max="9" width="15.6640625" style="112" bestFit="1" customWidth="1"/>
    <col min="10" max="10" width="16.33203125" style="112" bestFit="1" customWidth="1"/>
    <col min="11" max="11" width="15.6640625" style="112" bestFit="1" customWidth="1"/>
    <col min="12" max="12" width="16.33203125" style="112" bestFit="1" customWidth="1"/>
    <col min="13" max="15" width="15.6640625" style="112" bestFit="1" customWidth="1"/>
    <col min="16" max="16" width="15.44140625" style="112" bestFit="1" customWidth="1"/>
    <col min="17" max="17" width="15.6640625" style="112" bestFit="1" customWidth="1"/>
    <col min="18" max="18" width="13" style="112" bestFit="1" customWidth="1"/>
    <col min="19" max="19" width="15.6640625" style="112" bestFit="1" customWidth="1"/>
    <col min="20" max="16384" width="9.33203125" style="112"/>
  </cols>
  <sheetData>
    <row r="1" spans="1:17" s="178" customFormat="1" ht="18" thickBot="1" x14ac:dyDescent="0.35">
      <c r="A1" s="6" t="s">
        <v>79</v>
      </c>
      <c r="B1" s="46"/>
      <c r="C1" s="7"/>
    </row>
    <row r="2" spans="1:17" ht="13.8" thickBot="1" x14ac:dyDescent="0.3">
      <c r="A2" s="9"/>
      <c r="B2" s="9"/>
      <c r="C2" s="9"/>
    </row>
    <row r="3" spans="1:17" ht="18.75" customHeight="1" thickBot="1" x14ac:dyDescent="0.35">
      <c r="A3" s="6" t="s">
        <v>31</v>
      </c>
      <c r="B3" s="46"/>
      <c r="C3" s="10"/>
    </row>
    <row r="4" spans="1:17" ht="13.5" customHeight="1" thickBot="1" x14ac:dyDescent="0.3">
      <c r="A4" s="9"/>
      <c r="B4" s="9"/>
      <c r="C4" s="9"/>
    </row>
    <row r="5" spans="1:17" ht="13.8" thickBot="1" x14ac:dyDescent="0.3">
      <c r="A5" s="36" t="s">
        <v>254</v>
      </c>
      <c r="B5" s="94"/>
      <c r="C5" s="37"/>
    </row>
    <row r="6" spans="1:17" ht="13.8" thickBot="1" x14ac:dyDescent="0.3">
      <c r="A6" s="11" t="s">
        <v>35</v>
      </c>
      <c r="B6" s="95"/>
      <c r="C6" s="2">
        <v>10529785</v>
      </c>
      <c r="E6" s="179"/>
    </row>
    <row r="7" spans="1:17" ht="13.8" thickBot="1" x14ac:dyDescent="0.3">
      <c r="A7" s="12" t="s">
        <v>33</v>
      </c>
      <c r="B7" s="96"/>
      <c r="C7" s="2">
        <v>10529785</v>
      </c>
      <c r="E7" s="179"/>
    </row>
    <row r="8" spans="1:17" ht="13.8" thickBot="1" x14ac:dyDescent="0.3">
      <c r="A8" s="12" t="s">
        <v>34</v>
      </c>
      <c r="B8" s="96"/>
      <c r="C8" s="2">
        <v>10529785</v>
      </c>
      <c r="E8" s="179"/>
    </row>
    <row r="9" spans="1:17" ht="13.8" thickBot="1" x14ac:dyDescent="0.3">
      <c r="A9" s="28" t="s">
        <v>94</v>
      </c>
      <c r="B9" s="63"/>
      <c r="C9" s="2">
        <v>10529785</v>
      </c>
      <c r="E9" s="179"/>
    </row>
    <row r="10" spans="1:17" ht="13.8" thickBot="1" x14ac:dyDescent="0.3">
      <c r="A10" s="12" t="s">
        <v>36</v>
      </c>
      <c r="B10" s="96"/>
      <c r="C10" s="2">
        <v>10529785</v>
      </c>
      <c r="E10" s="179"/>
    </row>
    <row r="11" spans="1:17" ht="13.8" thickBot="1" x14ac:dyDescent="0.3">
      <c r="A11" s="25" t="s">
        <v>37</v>
      </c>
      <c r="B11" s="96"/>
      <c r="C11" s="2">
        <v>10529785</v>
      </c>
      <c r="E11" s="179"/>
    </row>
    <row r="12" spans="1:17" ht="13.8" thickBot="1" x14ac:dyDescent="0.3">
      <c r="A12" s="12" t="s">
        <v>38</v>
      </c>
      <c r="B12" s="96"/>
      <c r="C12" s="2">
        <v>10529785</v>
      </c>
      <c r="E12" s="179"/>
    </row>
    <row r="13" spans="1:17" ht="13.8" thickBot="1" x14ac:dyDescent="0.3">
      <c r="A13" s="12" t="s">
        <v>39</v>
      </c>
      <c r="B13" s="96"/>
      <c r="C13" s="2">
        <v>10529785</v>
      </c>
      <c r="E13" s="179"/>
    </row>
    <row r="14" spans="1:17" ht="13.8" thickBot="1" x14ac:dyDescent="0.3">
      <c r="A14" s="12" t="s">
        <v>40</v>
      </c>
      <c r="B14" s="96"/>
      <c r="C14" s="2">
        <v>10529785</v>
      </c>
      <c r="E14" s="179"/>
    </row>
    <row r="15" spans="1:17" ht="13.8" thickBot="1" x14ac:dyDescent="0.3">
      <c r="A15" s="13" t="s">
        <v>41</v>
      </c>
      <c r="B15" s="97"/>
      <c r="C15" s="2">
        <v>10529785</v>
      </c>
    </row>
    <row r="16" spans="1:17" ht="13.8" thickBo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3.8" thickBot="1" x14ac:dyDescent="0.3">
      <c r="A17" s="14" t="s">
        <v>42</v>
      </c>
      <c r="B17" s="14"/>
      <c r="C17" s="15">
        <v>1</v>
      </c>
      <c r="D17" s="38">
        <f>C17+1</f>
        <v>2</v>
      </c>
      <c r="E17" s="38">
        <f t="shared" ref="E17:Q17" si="0">D17+1</f>
        <v>3</v>
      </c>
      <c r="F17" s="38">
        <f t="shared" si="0"/>
        <v>4</v>
      </c>
      <c r="G17" s="38">
        <f t="shared" si="0"/>
        <v>5</v>
      </c>
      <c r="H17" s="38">
        <f t="shared" si="0"/>
        <v>6</v>
      </c>
      <c r="I17" s="38">
        <f t="shared" si="0"/>
        <v>7</v>
      </c>
      <c r="J17" s="38">
        <f t="shared" si="0"/>
        <v>8</v>
      </c>
      <c r="K17" s="38">
        <f t="shared" si="0"/>
        <v>9</v>
      </c>
      <c r="L17" s="38">
        <f t="shared" si="0"/>
        <v>10</v>
      </c>
      <c r="M17" s="38">
        <f t="shared" si="0"/>
        <v>11</v>
      </c>
      <c r="N17" s="38">
        <f t="shared" si="0"/>
        <v>12</v>
      </c>
      <c r="O17" s="38">
        <f t="shared" si="0"/>
        <v>13</v>
      </c>
      <c r="P17" s="38">
        <f t="shared" si="0"/>
        <v>14</v>
      </c>
      <c r="Q17" s="38">
        <f t="shared" si="0"/>
        <v>15</v>
      </c>
    </row>
    <row r="18" spans="1:17" ht="13.8" thickBot="1" x14ac:dyDescent="0.3">
      <c r="A18" s="14" t="s">
        <v>43</v>
      </c>
      <c r="B18" s="14"/>
      <c r="C18" s="15">
        <v>5</v>
      </c>
      <c r="D18" s="38">
        <f>C18</f>
        <v>5</v>
      </c>
      <c r="E18" s="38">
        <f t="shared" ref="E18:Q19" si="1">D18</f>
        <v>5</v>
      </c>
      <c r="F18" s="38">
        <f t="shared" si="1"/>
        <v>5</v>
      </c>
      <c r="G18" s="38">
        <f t="shared" si="1"/>
        <v>5</v>
      </c>
      <c r="H18" s="38">
        <f t="shared" si="1"/>
        <v>5</v>
      </c>
      <c r="I18" s="38">
        <f t="shared" si="1"/>
        <v>5</v>
      </c>
      <c r="J18" s="38">
        <f t="shared" si="1"/>
        <v>5</v>
      </c>
      <c r="K18" s="38">
        <f t="shared" si="1"/>
        <v>5</v>
      </c>
      <c r="L18" s="38">
        <f t="shared" si="1"/>
        <v>5</v>
      </c>
      <c r="M18" s="38">
        <f t="shared" si="1"/>
        <v>5</v>
      </c>
      <c r="N18" s="38">
        <f t="shared" si="1"/>
        <v>5</v>
      </c>
      <c r="O18" s="38">
        <f t="shared" si="1"/>
        <v>5</v>
      </c>
      <c r="P18" s="38">
        <f t="shared" si="1"/>
        <v>5</v>
      </c>
      <c r="Q18" s="38">
        <f t="shared" si="1"/>
        <v>5</v>
      </c>
    </row>
    <row r="19" spans="1:17" ht="13.8" thickBot="1" x14ac:dyDescent="0.3">
      <c r="A19" s="14" t="s">
        <v>47</v>
      </c>
      <c r="B19" s="14"/>
      <c r="C19" s="40">
        <f>C6</f>
        <v>10529785</v>
      </c>
      <c r="D19" s="39">
        <f>C19</f>
        <v>10529785</v>
      </c>
      <c r="E19" s="39">
        <f>D19</f>
        <v>10529785</v>
      </c>
      <c r="F19" s="39">
        <f>E19</f>
        <v>10529785</v>
      </c>
      <c r="G19" s="39">
        <f>F19</f>
        <v>10529785</v>
      </c>
      <c r="H19" s="40">
        <f>C7</f>
        <v>10529785</v>
      </c>
      <c r="I19" s="39">
        <f>H19</f>
        <v>10529785</v>
      </c>
      <c r="J19" s="39">
        <f t="shared" si="1"/>
        <v>10529785</v>
      </c>
      <c r="K19" s="39">
        <f t="shared" si="1"/>
        <v>10529785</v>
      </c>
      <c r="L19" s="39">
        <f t="shared" si="1"/>
        <v>10529785</v>
      </c>
      <c r="M19" s="40">
        <f>C8</f>
        <v>10529785</v>
      </c>
      <c r="N19" s="39">
        <f>M19</f>
        <v>10529785</v>
      </c>
      <c r="O19" s="39">
        <f t="shared" si="1"/>
        <v>10529785</v>
      </c>
      <c r="P19" s="39">
        <f t="shared" si="1"/>
        <v>10529785</v>
      </c>
      <c r="Q19" s="39">
        <f t="shared" si="1"/>
        <v>10529785</v>
      </c>
    </row>
    <row r="20" spans="1:17" x14ac:dyDescent="0.25">
      <c r="A20" s="14" t="s">
        <v>44</v>
      </c>
      <c r="B20" s="14"/>
      <c r="C20" s="39">
        <f>C19/C18</f>
        <v>2105957</v>
      </c>
      <c r="D20" s="39">
        <f t="shared" ref="D20:Q20" si="2">D19/D18</f>
        <v>2105957</v>
      </c>
      <c r="E20" s="39">
        <f t="shared" si="2"/>
        <v>2105957</v>
      </c>
      <c r="F20" s="39">
        <f t="shared" si="2"/>
        <v>2105957</v>
      </c>
      <c r="G20" s="39">
        <f t="shared" si="2"/>
        <v>2105957</v>
      </c>
      <c r="H20" s="39">
        <f t="shared" si="2"/>
        <v>2105957</v>
      </c>
      <c r="I20" s="39">
        <f t="shared" si="2"/>
        <v>2105957</v>
      </c>
      <c r="J20" s="39">
        <f t="shared" si="2"/>
        <v>2105957</v>
      </c>
      <c r="K20" s="39">
        <f t="shared" si="2"/>
        <v>2105957</v>
      </c>
      <c r="L20" s="39">
        <f t="shared" si="2"/>
        <v>2105957</v>
      </c>
      <c r="M20" s="39">
        <f t="shared" si="2"/>
        <v>2105957</v>
      </c>
      <c r="N20" s="39">
        <f t="shared" si="2"/>
        <v>2105957</v>
      </c>
      <c r="O20" s="39">
        <f t="shared" si="2"/>
        <v>2105957</v>
      </c>
      <c r="P20" s="39">
        <f t="shared" si="2"/>
        <v>2105957</v>
      </c>
      <c r="Q20" s="39">
        <f t="shared" si="2"/>
        <v>2105957</v>
      </c>
    </row>
    <row r="21" spans="1:17" x14ac:dyDescent="0.25">
      <c r="A21" s="14" t="s">
        <v>13</v>
      </c>
      <c r="B21" s="14"/>
      <c r="C21" s="41">
        <f>WACC!B20</f>
        <v>5.1995129411764707E-2</v>
      </c>
      <c r="D21" s="41">
        <f>C21</f>
        <v>5.1995129411764707E-2</v>
      </c>
      <c r="E21" s="41">
        <f t="shared" ref="E21:Q21" si="3">D21</f>
        <v>5.1995129411764707E-2</v>
      </c>
      <c r="F21" s="41">
        <f t="shared" si="3"/>
        <v>5.1995129411764707E-2</v>
      </c>
      <c r="G21" s="41">
        <f t="shared" si="3"/>
        <v>5.1995129411764707E-2</v>
      </c>
      <c r="H21" s="41">
        <f t="shared" si="3"/>
        <v>5.1995129411764707E-2</v>
      </c>
      <c r="I21" s="41">
        <f t="shared" si="3"/>
        <v>5.1995129411764707E-2</v>
      </c>
      <c r="J21" s="41">
        <f t="shared" si="3"/>
        <v>5.1995129411764707E-2</v>
      </c>
      <c r="K21" s="41">
        <f t="shared" si="3"/>
        <v>5.1995129411764707E-2</v>
      </c>
      <c r="L21" s="41">
        <f t="shared" si="3"/>
        <v>5.1995129411764707E-2</v>
      </c>
      <c r="M21" s="41">
        <f t="shared" si="3"/>
        <v>5.1995129411764707E-2</v>
      </c>
      <c r="N21" s="41">
        <f t="shared" si="3"/>
        <v>5.1995129411764707E-2</v>
      </c>
      <c r="O21" s="41">
        <f t="shared" si="3"/>
        <v>5.1995129411764707E-2</v>
      </c>
      <c r="P21" s="41">
        <f t="shared" si="3"/>
        <v>5.1995129411764707E-2</v>
      </c>
      <c r="Q21" s="41">
        <f t="shared" si="3"/>
        <v>5.1995129411764707E-2</v>
      </c>
    </row>
    <row r="22" spans="1:17" x14ac:dyDescent="0.25">
      <c r="A22" s="14" t="s">
        <v>45</v>
      </c>
      <c r="B22" s="14"/>
      <c r="C22" s="38">
        <f>C20/(1+C21)^C17</f>
        <v>2001869.5344887865</v>
      </c>
      <c r="D22" s="38">
        <f>D20/(1+D21)^D17</f>
        <v>1902926.6186889624</v>
      </c>
      <c r="E22" s="38">
        <f>E20/(1+E21)^E17</f>
        <v>1808873.9819099791</v>
      </c>
      <c r="F22" s="38">
        <f>F20/(1+F21)^F17</f>
        <v>1719469.9208554626</v>
      </c>
      <c r="G22" s="38">
        <f t="shared" ref="G22:Q22" si="4">G20/(1+G21)^G17</f>
        <v>1634484.678476529</v>
      </c>
      <c r="H22" s="38">
        <f t="shared" si="4"/>
        <v>1553699.8535254342</v>
      </c>
      <c r="I22" s="38">
        <f t="shared" si="4"/>
        <v>1476907.8392921872</v>
      </c>
      <c r="J22" s="38">
        <f t="shared" si="4"/>
        <v>1403911.2900817494</v>
      </c>
      <c r="K22" s="38">
        <f t="shared" si="4"/>
        <v>1334522.6140607351</v>
      </c>
      <c r="L22" s="38">
        <f t="shared" si="4"/>
        <v>1268563.4911702957</v>
      </c>
      <c r="M22" s="38">
        <f t="shared" si="4"/>
        <v>1205864.4148662814</v>
      </c>
      <c r="N22" s="38">
        <f t="shared" si="4"/>
        <v>1146264.2565090151</v>
      </c>
      <c r="O22" s="38">
        <f t="shared" si="4"/>
        <v>1089609.851283211</v>
      </c>
      <c r="P22" s="38">
        <f t="shared" si="4"/>
        <v>1035755.6045839101</v>
      </c>
      <c r="Q22" s="38">
        <f t="shared" si="4"/>
        <v>984563.11785689043</v>
      </c>
    </row>
    <row r="23" spans="1:17" x14ac:dyDescent="0.25">
      <c r="A23" s="14" t="s">
        <v>46</v>
      </c>
      <c r="B23" s="14"/>
      <c r="C23" s="42">
        <f>SUM(C22:Q22)</f>
        <v>21567287.067649428</v>
      </c>
      <c r="D23" s="182"/>
    </row>
    <row r="24" spans="1:17" x14ac:dyDescent="0.25">
      <c r="A24" s="14" t="s">
        <v>49</v>
      </c>
      <c r="B24" s="14"/>
      <c r="C24" s="42">
        <f>-PMT(C21,ANNUALISED_CAP_COST!$B$27,C23)</f>
        <v>2105957.0000000014</v>
      </c>
      <c r="D24" s="182"/>
      <c r="E24" s="179"/>
    </row>
    <row r="25" spans="1:17" ht="13.8" thickBot="1" x14ac:dyDescent="0.3">
      <c r="A25" s="14" t="s">
        <v>66</v>
      </c>
      <c r="B25" s="14"/>
      <c r="C25" s="77" t="s">
        <v>99</v>
      </c>
      <c r="E25" s="179"/>
    </row>
    <row r="26" spans="1:17" s="179" customFormat="1" ht="13.8" thickBot="1" x14ac:dyDescent="0.3">
      <c r="A26" s="20" t="s">
        <v>107</v>
      </c>
      <c r="B26" s="20"/>
      <c r="C26" s="31">
        <v>44012</v>
      </c>
      <c r="D26" s="112"/>
    </row>
    <row r="27" spans="1:17" s="179" customFormat="1" ht="13.8" thickBot="1" x14ac:dyDescent="0.3">
      <c r="A27" s="20" t="s">
        <v>108</v>
      </c>
      <c r="B27" s="20"/>
      <c r="C27" s="32">
        <v>45200</v>
      </c>
    </row>
    <row r="28" spans="1:17" ht="13.8" thickBot="1" x14ac:dyDescent="0.3">
      <c r="A28" s="9"/>
      <c r="B28" s="9"/>
      <c r="C28" s="9"/>
      <c r="D28" s="183"/>
      <c r="E28" s="183"/>
    </row>
    <row r="29" spans="1:17" ht="13.8" thickBot="1" x14ac:dyDescent="0.3">
      <c r="A29" s="14" t="s">
        <v>124</v>
      </c>
      <c r="B29" s="91">
        <f>ESCALATION_FACTORS!$B$4</f>
        <v>44377</v>
      </c>
      <c r="C29" s="100">
        <f>VLOOKUP($C$25,ESCALATION_FACTORS!$A$5:$E$9,2,)</f>
        <v>-7.3000000000000001E-3</v>
      </c>
    </row>
    <row r="30" spans="1:17" ht="13.8" thickBot="1" x14ac:dyDescent="0.3">
      <c r="A30" s="20"/>
      <c r="B30" s="91">
        <f>ESCALATION_FACTORS!$C$4</f>
        <v>44742</v>
      </c>
      <c r="C30" s="100">
        <f>VLOOKUP($C$25,ESCALATION_FACTORS!$A$5:$E$9,3,)</f>
        <v>-1.5E-3</v>
      </c>
    </row>
    <row r="31" spans="1:17" ht="13.8" thickBot="1" x14ac:dyDescent="0.3">
      <c r="A31" s="20"/>
      <c r="B31" s="91">
        <f>ESCALATION_FACTORS!$D$4</f>
        <v>45107</v>
      </c>
      <c r="C31" s="100">
        <f>VLOOKUP($C$25,ESCALATION_FACTORS!$A$5:$E$9,4,)</f>
        <v>1.1599999999999999E-2</v>
      </c>
    </row>
    <row r="32" spans="1:17" ht="13.8" thickBot="1" x14ac:dyDescent="0.3">
      <c r="A32" s="9"/>
      <c r="B32" s="91">
        <f>ESCALATION_FACTORS!$E$4</f>
        <v>45473</v>
      </c>
      <c r="C32" s="100">
        <f>VLOOKUP($C$25,ESCALATION_FACTORS!$A$5:$E$9,5,)</f>
        <v>1.84E-2</v>
      </c>
    </row>
    <row r="33" spans="1:5" s="179" customFormat="1" ht="13.8" thickBot="1" x14ac:dyDescent="0.3">
      <c r="A33" s="20"/>
      <c r="B33" s="20"/>
      <c r="C33" s="20"/>
      <c r="D33" s="183"/>
      <c r="E33" s="183"/>
    </row>
    <row r="34" spans="1:5" ht="13.8" thickBot="1" x14ac:dyDescent="0.3">
      <c r="A34" s="14" t="s">
        <v>48</v>
      </c>
      <c r="B34" s="14"/>
      <c r="C34" s="86">
        <f>(C24*IF(C26&lt;=B29,(1+C29)^((MIN(C27,B29)-MAX(C26,DATE(YEAR(B29)-1,6,30)))/(B29-DATE(YEAR(B29)-1,6,30))),1)*IF(AND(C26&lt;=B30,C27&gt;=B29),(1+C30)^((MIN(C27,B30)-MAX(C26,B29))/(B30-B29)),1)*IF(AND(C26&lt;=B31,C27&gt;=B30),(1+C31)^((MIN(C27,B31)-MAX(C26,B30))/(B31-B30)),1)*IF(C27&gt;=B31,(1+C32)^((MIN(C27,B32)-MAX(C26,B31))/(B32-B31)),1))/BRCP_Calculation!B16</f>
        <v>13931.362506327145</v>
      </c>
      <c r="D34" s="9" t="s">
        <v>52</v>
      </c>
    </row>
    <row r="35" spans="1:5" x14ac:dyDescent="0.25">
      <c r="A35" s="9"/>
      <c r="B35" s="9"/>
      <c r="C35" s="17"/>
    </row>
    <row r="36" spans="1:5" ht="13.8" thickBot="1" x14ac:dyDescent="0.3">
      <c r="A36" s="9"/>
      <c r="B36" s="9"/>
      <c r="C36" s="9"/>
    </row>
    <row r="37" spans="1:5" ht="18" thickBot="1" x14ac:dyDescent="0.35">
      <c r="A37" s="6" t="s">
        <v>32</v>
      </c>
      <c r="B37" s="46"/>
      <c r="C37" s="10"/>
    </row>
    <row r="38" spans="1:5" ht="13.8" thickBot="1" x14ac:dyDescent="0.3">
      <c r="A38" s="9"/>
      <c r="B38" s="9"/>
      <c r="C38" s="9"/>
    </row>
    <row r="39" spans="1:5" ht="13.8" thickBot="1" x14ac:dyDescent="0.3">
      <c r="A39" s="36" t="s">
        <v>253</v>
      </c>
      <c r="B39" s="94"/>
      <c r="C39" s="37"/>
    </row>
    <row r="40" spans="1:5" ht="13.8" thickBot="1" x14ac:dyDescent="0.3">
      <c r="A40" s="12" t="s">
        <v>35</v>
      </c>
      <c r="B40" s="95"/>
      <c r="C40" s="115">
        <v>396950</v>
      </c>
      <c r="E40" s="179"/>
    </row>
    <row r="41" spans="1:5" ht="13.8" thickBot="1" x14ac:dyDescent="0.3">
      <c r="A41" s="12" t="s">
        <v>33</v>
      </c>
      <c r="B41" s="96"/>
      <c r="C41" s="115">
        <v>396950</v>
      </c>
      <c r="E41" s="179"/>
    </row>
    <row r="42" spans="1:5" ht="13.8" thickBot="1" x14ac:dyDescent="0.3">
      <c r="A42" s="12" t="s">
        <v>34</v>
      </c>
      <c r="B42" s="96"/>
      <c r="C42" s="115">
        <v>396950</v>
      </c>
      <c r="E42" s="179"/>
    </row>
    <row r="43" spans="1:5" ht="13.8" thickBot="1" x14ac:dyDescent="0.3">
      <c r="A43" s="12" t="s">
        <v>94</v>
      </c>
      <c r="B43" s="96"/>
      <c r="C43" s="115">
        <v>396950</v>
      </c>
      <c r="E43" s="179"/>
    </row>
    <row r="44" spans="1:5" ht="13.8" thickBot="1" x14ac:dyDescent="0.3">
      <c r="A44" s="12" t="s">
        <v>36</v>
      </c>
      <c r="B44" s="96"/>
      <c r="C44" s="115">
        <v>396950</v>
      </c>
      <c r="E44" s="179"/>
    </row>
    <row r="45" spans="1:5" ht="13.8" thickBot="1" x14ac:dyDescent="0.3">
      <c r="A45" s="12" t="s">
        <v>37</v>
      </c>
      <c r="B45" s="96"/>
      <c r="C45" s="115">
        <v>396950</v>
      </c>
      <c r="E45" s="179"/>
    </row>
    <row r="46" spans="1:5" ht="13.8" thickBot="1" x14ac:dyDescent="0.3">
      <c r="A46" s="12" t="s">
        <v>38</v>
      </c>
      <c r="B46" s="96"/>
      <c r="C46" s="115">
        <v>396950</v>
      </c>
      <c r="E46" s="179"/>
    </row>
    <row r="47" spans="1:5" ht="13.8" thickBot="1" x14ac:dyDescent="0.3">
      <c r="A47" s="12" t="s">
        <v>39</v>
      </c>
      <c r="B47" s="96"/>
      <c r="C47" s="115">
        <v>396950</v>
      </c>
      <c r="E47" s="179"/>
    </row>
    <row r="48" spans="1:5" ht="13.8" thickBot="1" x14ac:dyDescent="0.3">
      <c r="A48" s="12" t="s">
        <v>40</v>
      </c>
      <c r="B48" s="96"/>
      <c r="C48" s="115">
        <v>396950</v>
      </c>
      <c r="E48" s="179"/>
    </row>
    <row r="49" spans="1:17" ht="13.8" thickBot="1" x14ac:dyDescent="0.3">
      <c r="A49" s="13" t="s">
        <v>41</v>
      </c>
      <c r="B49" s="97"/>
      <c r="C49" s="115">
        <v>396950</v>
      </c>
      <c r="E49" s="179"/>
    </row>
    <row r="50" spans="1:17" ht="13.8" thickBot="1" x14ac:dyDescent="0.3">
      <c r="A50" s="9"/>
      <c r="B50" s="9"/>
      <c r="C50" s="9"/>
      <c r="E50" s="179"/>
    </row>
    <row r="51" spans="1:17" ht="13.8" thickBot="1" x14ac:dyDescent="0.3">
      <c r="A51" s="14" t="s">
        <v>42</v>
      </c>
      <c r="B51" s="14"/>
      <c r="C51" s="15">
        <v>1</v>
      </c>
      <c r="D51" s="38">
        <f>C51+1</f>
        <v>2</v>
      </c>
      <c r="E51" s="38">
        <f t="shared" ref="E51:Q51" si="5">D51+1</f>
        <v>3</v>
      </c>
      <c r="F51" s="38">
        <f t="shared" si="5"/>
        <v>4</v>
      </c>
      <c r="G51" s="38">
        <f t="shared" si="5"/>
        <v>5</v>
      </c>
      <c r="H51" s="38">
        <f t="shared" si="5"/>
        <v>6</v>
      </c>
      <c r="I51" s="38">
        <f t="shared" si="5"/>
        <v>7</v>
      </c>
      <c r="J51" s="38">
        <f t="shared" si="5"/>
        <v>8</v>
      </c>
      <c r="K51" s="38">
        <f t="shared" si="5"/>
        <v>9</v>
      </c>
      <c r="L51" s="38">
        <f t="shared" si="5"/>
        <v>10</v>
      </c>
      <c r="M51" s="38">
        <f t="shared" si="5"/>
        <v>11</v>
      </c>
      <c r="N51" s="38">
        <f t="shared" si="5"/>
        <v>12</v>
      </c>
      <c r="O51" s="38">
        <f t="shared" si="5"/>
        <v>13</v>
      </c>
      <c r="P51" s="38">
        <f t="shared" si="5"/>
        <v>14</v>
      </c>
      <c r="Q51" s="38">
        <f t="shared" si="5"/>
        <v>15</v>
      </c>
    </row>
    <row r="52" spans="1:17" ht="13.8" thickBot="1" x14ac:dyDescent="0.3">
      <c r="A52" s="14" t="s">
        <v>43</v>
      </c>
      <c r="B52" s="14"/>
      <c r="C52" s="15">
        <v>5</v>
      </c>
      <c r="D52" s="38">
        <f>C52</f>
        <v>5</v>
      </c>
      <c r="E52" s="38">
        <f t="shared" ref="E52:Q53" si="6">D52</f>
        <v>5</v>
      </c>
      <c r="F52" s="38">
        <f t="shared" si="6"/>
        <v>5</v>
      </c>
      <c r="G52" s="38">
        <f t="shared" si="6"/>
        <v>5</v>
      </c>
      <c r="H52" s="38">
        <f t="shared" si="6"/>
        <v>5</v>
      </c>
      <c r="I52" s="38">
        <f t="shared" si="6"/>
        <v>5</v>
      </c>
      <c r="J52" s="38">
        <f t="shared" si="6"/>
        <v>5</v>
      </c>
      <c r="K52" s="38">
        <f t="shared" si="6"/>
        <v>5</v>
      </c>
      <c r="L52" s="38">
        <f t="shared" si="6"/>
        <v>5</v>
      </c>
      <c r="M52" s="38">
        <f t="shared" si="6"/>
        <v>5</v>
      </c>
      <c r="N52" s="38">
        <f t="shared" si="6"/>
        <v>5</v>
      </c>
      <c r="O52" s="38">
        <f t="shared" si="6"/>
        <v>5</v>
      </c>
      <c r="P52" s="38">
        <f t="shared" si="6"/>
        <v>5</v>
      </c>
      <c r="Q52" s="38">
        <f t="shared" si="6"/>
        <v>5</v>
      </c>
    </row>
    <row r="53" spans="1:17" ht="13.8" thickBot="1" x14ac:dyDescent="0.3">
      <c r="A53" s="14" t="s">
        <v>47</v>
      </c>
      <c r="B53" s="14"/>
      <c r="C53" s="40">
        <f>C40</f>
        <v>396950</v>
      </c>
      <c r="D53" s="39">
        <f>C53</f>
        <v>396950</v>
      </c>
      <c r="E53" s="39">
        <f>D53</f>
        <v>396950</v>
      </c>
      <c r="F53" s="39">
        <f>E53</f>
        <v>396950</v>
      </c>
      <c r="G53" s="39">
        <f>F53</f>
        <v>396950</v>
      </c>
      <c r="H53" s="40">
        <f>C41</f>
        <v>396950</v>
      </c>
      <c r="I53" s="39">
        <f>H53</f>
        <v>396950</v>
      </c>
      <c r="J53" s="39">
        <f t="shared" si="6"/>
        <v>396950</v>
      </c>
      <c r="K53" s="39">
        <f t="shared" si="6"/>
        <v>396950</v>
      </c>
      <c r="L53" s="39">
        <f t="shared" si="6"/>
        <v>396950</v>
      </c>
      <c r="M53" s="40">
        <f>C42</f>
        <v>396950</v>
      </c>
      <c r="N53" s="39">
        <f>M53</f>
        <v>396950</v>
      </c>
      <c r="O53" s="39">
        <f t="shared" si="6"/>
        <v>396950</v>
      </c>
      <c r="P53" s="39">
        <f t="shared" si="6"/>
        <v>396950</v>
      </c>
      <c r="Q53" s="39">
        <f t="shared" si="6"/>
        <v>396950</v>
      </c>
    </row>
    <row r="54" spans="1:17" x14ac:dyDescent="0.25">
      <c r="A54" s="14" t="s">
        <v>44</v>
      </c>
      <c r="B54" s="14"/>
      <c r="C54" s="39">
        <f>C53/C52</f>
        <v>79390</v>
      </c>
      <c r="D54" s="39">
        <f>D53/D52</f>
        <v>79390</v>
      </c>
      <c r="E54" s="39">
        <f t="shared" ref="E54:Q54" si="7">E53/E52</f>
        <v>79390</v>
      </c>
      <c r="F54" s="39">
        <f t="shared" si="7"/>
        <v>79390</v>
      </c>
      <c r="G54" s="39">
        <f t="shared" si="7"/>
        <v>79390</v>
      </c>
      <c r="H54" s="39">
        <f t="shared" si="7"/>
        <v>79390</v>
      </c>
      <c r="I54" s="39">
        <f t="shared" si="7"/>
        <v>79390</v>
      </c>
      <c r="J54" s="39">
        <f t="shared" si="7"/>
        <v>79390</v>
      </c>
      <c r="K54" s="39">
        <f t="shared" si="7"/>
        <v>79390</v>
      </c>
      <c r="L54" s="39">
        <f t="shared" si="7"/>
        <v>79390</v>
      </c>
      <c r="M54" s="39">
        <f t="shared" si="7"/>
        <v>79390</v>
      </c>
      <c r="N54" s="39">
        <f t="shared" si="7"/>
        <v>79390</v>
      </c>
      <c r="O54" s="39">
        <f t="shared" si="7"/>
        <v>79390</v>
      </c>
      <c r="P54" s="39">
        <f t="shared" si="7"/>
        <v>79390</v>
      </c>
      <c r="Q54" s="39">
        <f t="shared" si="7"/>
        <v>79390</v>
      </c>
    </row>
    <row r="55" spans="1:17" x14ac:dyDescent="0.25">
      <c r="A55" s="9" t="s">
        <v>13</v>
      </c>
      <c r="B55" s="14"/>
      <c r="C55" s="41">
        <f>WACC!B20</f>
        <v>5.1995129411764707E-2</v>
      </c>
      <c r="D55" s="41">
        <f>C55</f>
        <v>5.1995129411764707E-2</v>
      </c>
      <c r="E55" s="41">
        <f t="shared" ref="E55:Q55" si="8">D55</f>
        <v>5.1995129411764707E-2</v>
      </c>
      <c r="F55" s="41">
        <f t="shared" si="8"/>
        <v>5.1995129411764707E-2</v>
      </c>
      <c r="G55" s="41">
        <f t="shared" si="8"/>
        <v>5.1995129411764707E-2</v>
      </c>
      <c r="H55" s="41">
        <f t="shared" si="8"/>
        <v>5.1995129411764707E-2</v>
      </c>
      <c r="I55" s="41">
        <f t="shared" si="8"/>
        <v>5.1995129411764707E-2</v>
      </c>
      <c r="J55" s="41">
        <f t="shared" si="8"/>
        <v>5.1995129411764707E-2</v>
      </c>
      <c r="K55" s="41">
        <f t="shared" si="8"/>
        <v>5.1995129411764707E-2</v>
      </c>
      <c r="L55" s="41">
        <f t="shared" si="8"/>
        <v>5.1995129411764707E-2</v>
      </c>
      <c r="M55" s="41">
        <f t="shared" si="8"/>
        <v>5.1995129411764707E-2</v>
      </c>
      <c r="N55" s="41">
        <f t="shared" si="8"/>
        <v>5.1995129411764707E-2</v>
      </c>
      <c r="O55" s="41">
        <f t="shared" si="8"/>
        <v>5.1995129411764707E-2</v>
      </c>
      <c r="P55" s="41">
        <f t="shared" si="8"/>
        <v>5.1995129411764707E-2</v>
      </c>
      <c r="Q55" s="41">
        <f t="shared" si="8"/>
        <v>5.1995129411764707E-2</v>
      </c>
    </row>
    <row r="56" spans="1:17" x14ac:dyDescent="0.25">
      <c r="A56" s="45" t="s">
        <v>45</v>
      </c>
      <c r="B56" s="14"/>
      <c r="C56" s="38">
        <f>C54/(1+C55)^C51</f>
        <v>75466.12886353556</v>
      </c>
      <c r="D56" s="38">
        <f t="shared" ref="D56:Q56" si="9">D54/(1+D55)^D51</f>
        <v>71736.19606559712</v>
      </c>
      <c r="E56" s="38">
        <f t="shared" si="9"/>
        <v>68190.616154001837</v>
      </c>
      <c r="F56" s="38">
        <f t="shared" si="9"/>
        <v>64820.277440002414</v>
      </c>
      <c r="G56" s="38">
        <f t="shared" si="9"/>
        <v>61616.518582407727</v>
      </c>
      <c r="H56" s="38">
        <f t="shared" si="9"/>
        <v>58571.10632903911</v>
      </c>
      <c r="I56" s="38">
        <f t="shared" si="9"/>
        <v>55676.214358321056</v>
      </c>
      <c r="J56" s="38">
        <f t="shared" si="9"/>
        <v>52924.403166631644</v>
      </c>
      <c r="K56" s="38">
        <f t="shared" si="9"/>
        <v>50308.600949725827</v>
      </c>
      <c r="L56" s="38">
        <f t="shared" si="9"/>
        <v>47822.085429099345</v>
      </c>
      <c r="M56" s="38">
        <f t="shared" si="9"/>
        <v>45458.466576589213</v>
      </c>
      <c r="N56" s="38">
        <f t="shared" si="9"/>
        <v>43211.670192815291</v>
      </c>
      <c r="O56" s="38">
        <f t="shared" si="9"/>
        <v>41075.922297261583</v>
      </c>
      <c r="P56" s="38">
        <f t="shared" si="9"/>
        <v>39045.73428988181</v>
      </c>
      <c r="Q56" s="38">
        <f t="shared" si="9"/>
        <v>37115.88884609635</v>
      </c>
    </row>
    <row r="57" spans="1:17" x14ac:dyDescent="0.25">
      <c r="A57" s="14" t="s">
        <v>46</v>
      </c>
      <c r="B57" s="14"/>
      <c r="C57" s="42">
        <f>SUM(C56:Q56)</f>
        <v>813039.82954100566</v>
      </c>
      <c r="D57" s="182"/>
    </row>
    <row r="58" spans="1:17" ht="13.8" thickBot="1" x14ac:dyDescent="0.3">
      <c r="A58" s="14" t="s">
        <v>49</v>
      </c>
      <c r="B58" s="14"/>
      <c r="C58" s="42">
        <f>-PMT(C55,ANNUALISED_CAP_COST!$B$27,C57)</f>
        <v>79390.000000000044</v>
      </c>
      <c r="D58" s="182"/>
    </row>
    <row r="59" spans="1:17" ht="13.8" thickBot="1" x14ac:dyDescent="0.3">
      <c r="A59" s="14" t="s">
        <v>66</v>
      </c>
      <c r="B59" s="14"/>
      <c r="C59" s="16" t="s">
        <v>121</v>
      </c>
      <c r="E59" s="179"/>
    </row>
    <row r="60" spans="1:17" s="179" customFormat="1" ht="13.8" thickBot="1" x14ac:dyDescent="0.3">
      <c r="A60" s="20" t="s">
        <v>107</v>
      </c>
      <c r="B60" s="20"/>
      <c r="C60" s="31">
        <v>44012</v>
      </c>
      <c r="D60" s="112"/>
    </row>
    <row r="61" spans="1:17" s="179" customFormat="1" ht="13.8" thickBot="1" x14ac:dyDescent="0.3">
      <c r="A61" s="20" t="s">
        <v>108</v>
      </c>
      <c r="B61" s="20"/>
      <c r="C61" s="32">
        <v>45200</v>
      </c>
    </row>
    <row r="62" spans="1:17" ht="13.8" thickBot="1" x14ac:dyDescent="0.3">
      <c r="A62" s="9"/>
      <c r="B62" s="9"/>
      <c r="C62" s="9"/>
      <c r="D62" s="183"/>
      <c r="E62" s="183"/>
    </row>
    <row r="63" spans="1:17" ht="13.8" thickBot="1" x14ac:dyDescent="0.3">
      <c r="A63" s="14" t="s">
        <v>124</v>
      </c>
      <c r="B63" s="91">
        <f>ESCALATION_FACTORS!$B$4</f>
        <v>44377</v>
      </c>
      <c r="C63" s="100">
        <f>VLOOKUP($C$59,ESCALATION_FACTORS!$A$5:$E$9,2,)</f>
        <v>9.5999999999999992E-3</v>
      </c>
    </row>
    <row r="64" spans="1:17" s="179" customFormat="1" ht="13.8" thickBot="1" x14ac:dyDescent="0.3">
      <c r="A64" s="20"/>
      <c r="B64" s="91">
        <f>ESCALATION_FACTORS!$C$4</f>
        <v>44742</v>
      </c>
      <c r="C64" s="100">
        <f>VLOOKUP($C$59,ESCALATION_FACTORS!$A$5:$E$9,3,)</f>
        <v>9.4999999999999998E-3</v>
      </c>
      <c r="D64" s="183"/>
      <c r="E64" s="183"/>
    </row>
    <row r="65" spans="1:5" s="179" customFormat="1" ht="13.8" thickBot="1" x14ac:dyDescent="0.3">
      <c r="A65" s="20"/>
      <c r="B65" s="91">
        <f>ESCALATION_FACTORS!$D$4</f>
        <v>45107</v>
      </c>
      <c r="C65" s="100">
        <f>VLOOKUP($C$59,ESCALATION_FACTORS!$A$5:$E$9,4,)</f>
        <v>1.6799999999999999E-2</v>
      </c>
      <c r="D65" s="183"/>
      <c r="E65" s="183"/>
    </row>
    <row r="66" spans="1:5" s="179" customFormat="1" ht="13.8" thickBot="1" x14ac:dyDescent="0.3">
      <c r="A66" s="9"/>
      <c r="B66" s="91">
        <f>ESCALATION_FACTORS!$E$4</f>
        <v>45473</v>
      </c>
      <c r="C66" s="100">
        <f>VLOOKUP($C$59,ESCALATION_FACTORS!$A$5:$E$9,5,)</f>
        <v>2.53E-2</v>
      </c>
      <c r="D66" s="183"/>
      <c r="E66" s="183"/>
    </row>
    <row r="67" spans="1:5" s="179" customFormat="1" ht="13.8" thickBot="1" x14ac:dyDescent="0.3">
      <c r="A67" s="20"/>
      <c r="B67" s="20"/>
      <c r="C67" s="20"/>
      <c r="D67" s="183"/>
      <c r="E67" s="183"/>
    </row>
    <row r="68" spans="1:5" ht="13.8" thickBot="1" x14ac:dyDescent="0.3">
      <c r="A68" s="14" t="s">
        <v>48</v>
      </c>
      <c r="B68" s="14"/>
      <c r="C68" s="86">
        <f>(C58*IF(C60&lt;=B63,(1+C63)^((MIN(C61,B63)-MAX(C60,DATE(YEAR(B63)-1,6,30)))/(B63-DATE(YEAR(B63)-1,6,30))),1)*IF(AND(C60&lt;=B64,C61&gt;=B63),(1+C64)^((MIN(C61,B64)-MAX(C60,B63))/(B64-B63)),1)*IF(AND(C60&lt;=B65,C61&gt;=B64),(1+C65)^((MIN(C61,B65)-MAX(C60,B64))/(B65-B64)),1)*IF(C61&gt;=B65,(1+C66)^((MIN(C61,B66)-MAX(C60,B65))/(B66-B65)),1))/BRCP_Calculation!B16</f>
        <v>543.71504072888945</v>
      </c>
      <c r="D68" s="9" t="s">
        <v>52</v>
      </c>
    </row>
    <row r="69" spans="1:5" x14ac:dyDescent="0.25">
      <c r="A69" s="14"/>
      <c r="B69" s="14"/>
      <c r="C69" s="18"/>
    </row>
    <row r="70" spans="1:5" ht="13.8" thickBot="1" x14ac:dyDescent="0.3">
      <c r="A70" s="9"/>
      <c r="B70" s="9"/>
      <c r="C70" s="9"/>
    </row>
    <row r="71" spans="1:5" ht="13.8" thickBot="1" x14ac:dyDescent="0.3">
      <c r="A71" s="36" t="s">
        <v>252</v>
      </c>
      <c r="B71" s="94"/>
      <c r="C71" s="37"/>
    </row>
    <row r="72" spans="1:5" ht="13.8" thickBot="1" x14ac:dyDescent="0.3">
      <c r="A72" s="11" t="s">
        <v>35</v>
      </c>
      <c r="B72" s="95"/>
      <c r="C72" s="115">
        <v>24775</v>
      </c>
      <c r="E72" s="179"/>
    </row>
    <row r="73" spans="1:5" ht="13.8" thickBot="1" x14ac:dyDescent="0.3">
      <c r="A73" s="12" t="s">
        <v>33</v>
      </c>
      <c r="B73" s="96"/>
      <c r="C73" s="115">
        <v>24775</v>
      </c>
      <c r="E73" s="179"/>
    </row>
    <row r="74" spans="1:5" ht="13.8" thickBot="1" x14ac:dyDescent="0.3">
      <c r="A74" s="12" t="s">
        <v>34</v>
      </c>
      <c r="B74" s="96"/>
      <c r="C74" s="115">
        <v>24775</v>
      </c>
      <c r="E74" s="179"/>
    </row>
    <row r="75" spans="1:5" ht="13.8" thickBot="1" x14ac:dyDescent="0.3">
      <c r="A75" s="12" t="s">
        <v>94</v>
      </c>
      <c r="B75" s="96"/>
      <c r="C75" s="115">
        <v>24775</v>
      </c>
      <c r="E75" s="179"/>
    </row>
    <row r="76" spans="1:5" ht="13.8" thickBot="1" x14ac:dyDescent="0.3">
      <c r="A76" s="12" t="s">
        <v>36</v>
      </c>
      <c r="B76" s="96"/>
      <c r="C76" s="115">
        <v>24775</v>
      </c>
      <c r="E76" s="179"/>
    </row>
    <row r="77" spans="1:5" ht="13.8" thickBot="1" x14ac:dyDescent="0.3">
      <c r="A77" s="12" t="s">
        <v>37</v>
      </c>
      <c r="B77" s="96"/>
      <c r="C77" s="115">
        <v>24775</v>
      </c>
      <c r="E77" s="179"/>
    </row>
    <row r="78" spans="1:5" ht="13.8" thickBot="1" x14ac:dyDescent="0.3">
      <c r="A78" s="12" t="s">
        <v>38</v>
      </c>
      <c r="B78" s="96"/>
      <c r="C78" s="115">
        <v>24775</v>
      </c>
      <c r="E78" s="179"/>
    </row>
    <row r="79" spans="1:5" ht="13.8" thickBot="1" x14ac:dyDescent="0.3">
      <c r="A79" s="12" t="s">
        <v>39</v>
      </c>
      <c r="B79" s="96"/>
      <c r="C79" s="115">
        <v>24775</v>
      </c>
      <c r="E79" s="179"/>
    </row>
    <row r="80" spans="1:5" ht="13.8" thickBot="1" x14ac:dyDescent="0.3">
      <c r="A80" s="12" t="s">
        <v>40</v>
      </c>
      <c r="B80" s="96"/>
      <c r="C80" s="115">
        <v>24775</v>
      </c>
      <c r="E80" s="179"/>
    </row>
    <row r="81" spans="1:17" ht="13.8" thickBot="1" x14ac:dyDescent="0.3">
      <c r="A81" s="12" t="s">
        <v>41</v>
      </c>
      <c r="B81" s="96"/>
      <c r="C81" s="115">
        <v>24775</v>
      </c>
      <c r="E81" s="179"/>
    </row>
    <row r="82" spans="1:17" ht="13.8" thickBot="1" x14ac:dyDescent="0.3">
      <c r="A82" s="12" t="s">
        <v>50</v>
      </c>
      <c r="B82" s="96"/>
      <c r="C82" s="115">
        <v>24775</v>
      </c>
      <c r="E82" s="179"/>
    </row>
    <row r="83" spans="1:17" ht="13.8" thickBot="1" x14ac:dyDescent="0.3">
      <c r="A83" s="13" t="s">
        <v>51</v>
      </c>
      <c r="B83" s="97"/>
      <c r="C83" s="115">
        <v>24775</v>
      </c>
      <c r="E83" s="179"/>
    </row>
    <row r="84" spans="1:17" ht="13.8" thickBot="1" x14ac:dyDescent="0.3">
      <c r="A84" s="9"/>
      <c r="B84" s="9"/>
      <c r="C84" s="9"/>
    </row>
    <row r="85" spans="1:17" ht="13.8" thickBot="1" x14ac:dyDescent="0.3">
      <c r="A85" s="14" t="s">
        <v>42</v>
      </c>
      <c r="B85" s="14"/>
      <c r="C85" s="15">
        <v>1</v>
      </c>
      <c r="D85" s="38">
        <f>C85+1</f>
        <v>2</v>
      </c>
      <c r="E85" s="38">
        <f t="shared" ref="E85:Q85" si="10">D85+1</f>
        <v>3</v>
      </c>
      <c r="F85" s="38">
        <f t="shared" si="10"/>
        <v>4</v>
      </c>
      <c r="G85" s="38">
        <f t="shared" si="10"/>
        <v>5</v>
      </c>
      <c r="H85" s="38">
        <f t="shared" si="10"/>
        <v>6</v>
      </c>
      <c r="I85" s="38">
        <f t="shared" si="10"/>
        <v>7</v>
      </c>
      <c r="J85" s="38">
        <f t="shared" si="10"/>
        <v>8</v>
      </c>
      <c r="K85" s="38">
        <f t="shared" si="10"/>
        <v>9</v>
      </c>
      <c r="L85" s="38">
        <f t="shared" si="10"/>
        <v>10</v>
      </c>
      <c r="M85" s="38">
        <f t="shared" si="10"/>
        <v>11</v>
      </c>
      <c r="N85" s="38">
        <f t="shared" si="10"/>
        <v>12</v>
      </c>
      <c r="O85" s="38">
        <f t="shared" si="10"/>
        <v>13</v>
      </c>
      <c r="P85" s="38">
        <f t="shared" si="10"/>
        <v>14</v>
      </c>
      <c r="Q85" s="38">
        <f t="shared" si="10"/>
        <v>15</v>
      </c>
    </row>
    <row r="86" spans="1:17" ht="13.8" thickBot="1" x14ac:dyDescent="0.3">
      <c r="A86" s="14" t="s">
        <v>43</v>
      </c>
      <c r="B86" s="14"/>
      <c r="C86" s="15">
        <v>5</v>
      </c>
      <c r="D86" s="38">
        <f>C86</f>
        <v>5</v>
      </c>
      <c r="E86" s="38">
        <f t="shared" ref="E86:Q87" si="11">D86</f>
        <v>5</v>
      </c>
      <c r="F86" s="38">
        <f t="shared" si="11"/>
        <v>5</v>
      </c>
      <c r="G86" s="38">
        <f t="shared" si="11"/>
        <v>5</v>
      </c>
      <c r="H86" s="38">
        <f t="shared" si="11"/>
        <v>5</v>
      </c>
      <c r="I86" s="38">
        <f t="shared" si="11"/>
        <v>5</v>
      </c>
      <c r="J86" s="38">
        <f t="shared" si="11"/>
        <v>5</v>
      </c>
      <c r="K86" s="38">
        <f t="shared" si="11"/>
        <v>5</v>
      </c>
      <c r="L86" s="38">
        <f t="shared" si="11"/>
        <v>5</v>
      </c>
      <c r="M86" s="38">
        <f t="shared" si="11"/>
        <v>5</v>
      </c>
      <c r="N86" s="38">
        <f t="shared" si="11"/>
        <v>5</v>
      </c>
      <c r="O86" s="38">
        <f t="shared" si="11"/>
        <v>5</v>
      </c>
      <c r="P86" s="38">
        <f t="shared" si="11"/>
        <v>5</v>
      </c>
      <c r="Q86" s="38">
        <f t="shared" si="11"/>
        <v>5</v>
      </c>
    </row>
    <row r="87" spans="1:17" ht="13.8" thickBot="1" x14ac:dyDescent="0.3">
      <c r="A87" s="14" t="s">
        <v>47</v>
      </c>
      <c r="B87" s="14"/>
      <c r="C87" s="40">
        <f>C72</f>
        <v>24775</v>
      </c>
      <c r="D87" s="39">
        <f>C87</f>
        <v>24775</v>
      </c>
      <c r="E87" s="39">
        <f>D87</f>
        <v>24775</v>
      </c>
      <c r="F87" s="39">
        <f>E87</f>
        <v>24775</v>
      </c>
      <c r="G87" s="39">
        <f>F87</f>
        <v>24775</v>
      </c>
      <c r="H87" s="39">
        <f>C73</f>
        <v>24775</v>
      </c>
      <c r="I87" s="39">
        <f>H87</f>
        <v>24775</v>
      </c>
      <c r="J87" s="39">
        <f t="shared" si="11"/>
        <v>24775</v>
      </c>
      <c r="K87" s="39">
        <f t="shared" si="11"/>
        <v>24775</v>
      </c>
      <c r="L87" s="39">
        <f t="shared" si="11"/>
        <v>24775</v>
      </c>
      <c r="M87" s="39">
        <f>C74</f>
        <v>24775</v>
      </c>
      <c r="N87" s="39">
        <f>M87</f>
        <v>24775</v>
      </c>
      <c r="O87" s="39">
        <f t="shared" si="11"/>
        <v>24775</v>
      </c>
      <c r="P87" s="39">
        <f t="shared" si="11"/>
        <v>24775</v>
      </c>
      <c r="Q87" s="39">
        <f t="shared" si="11"/>
        <v>24775</v>
      </c>
    </row>
    <row r="88" spans="1:17" x14ac:dyDescent="0.25">
      <c r="A88" s="14" t="s">
        <v>44</v>
      </c>
      <c r="B88" s="14"/>
      <c r="C88" s="39">
        <f>C87/C86</f>
        <v>4955</v>
      </c>
      <c r="D88" s="39">
        <f t="shared" ref="D88:Q88" si="12">D87/D86</f>
        <v>4955</v>
      </c>
      <c r="E88" s="39">
        <f>E87/E86</f>
        <v>4955</v>
      </c>
      <c r="F88" s="39">
        <f t="shared" si="12"/>
        <v>4955</v>
      </c>
      <c r="G88" s="39">
        <f t="shared" si="12"/>
        <v>4955</v>
      </c>
      <c r="H88" s="39">
        <f t="shared" si="12"/>
        <v>4955</v>
      </c>
      <c r="I88" s="39">
        <f t="shared" si="12"/>
        <v>4955</v>
      </c>
      <c r="J88" s="39">
        <f t="shared" si="12"/>
        <v>4955</v>
      </c>
      <c r="K88" s="39">
        <f t="shared" si="12"/>
        <v>4955</v>
      </c>
      <c r="L88" s="39">
        <f t="shared" si="12"/>
        <v>4955</v>
      </c>
      <c r="M88" s="39">
        <f t="shared" si="12"/>
        <v>4955</v>
      </c>
      <c r="N88" s="39">
        <f t="shared" si="12"/>
        <v>4955</v>
      </c>
      <c r="O88" s="39">
        <f t="shared" si="12"/>
        <v>4955</v>
      </c>
      <c r="P88" s="39">
        <f t="shared" si="12"/>
        <v>4955</v>
      </c>
      <c r="Q88" s="39">
        <f t="shared" si="12"/>
        <v>4955</v>
      </c>
    </row>
    <row r="89" spans="1:17" x14ac:dyDescent="0.25">
      <c r="A89" s="14" t="s">
        <v>13</v>
      </c>
      <c r="B89" s="14"/>
      <c r="C89" s="41">
        <f>WACC!B20</f>
        <v>5.1995129411764707E-2</v>
      </c>
      <c r="D89" s="41">
        <f>C89</f>
        <v>5.1995129411764707E-2</v>
      </c>
      <c r="E89" s="41">
        <f t="shared" ref="E89:Q89" si="13">D89</f>
        <v>5.1995129411764707E-2</v>
      </c>
      <c r="F89" s="41">
        <f t="shared" si="13"/>
        <v>5.1995129411764707E-2</v>
      </c>
      <c r="G89" s="41">
        <f t="shared" si="13"/>
        <v>5.1995129411764707E-2</v>
      </c>
      <c r="H89" s="41">
        <f t="shared" si="13"/>
        <v>5.1995129411764707E-2</v>
      </c>
      <c r="I89" s="41">
        <f t="shared" si="13"/>
        <v>5.1995129411764707E-2</v>
      </c>
      <c r="J89" s="41">
        <f t="shared" si="13"/>
        <v>5.1995129411764707E-2</v>
      </c>
      <c r="K89" s="41">
        <f t="shared" si="13"/>
        <v>5.1995129411764707E-2</v>
      </c>
      <c r="L89" s="41">
        <f t="shared" si="13"/>
        <v>5.1995129411764707E-2</v>
      </c>
      <c r="M89" s="41">
        <f t="shared" si="13"/>
        <v>5.1995129411764707E-2</v>
      </c>
      <c r="N89" s="41">
        <f t="shared" si="13"/>
        <v>5.1995129411764707E-2</v>
      </c>
      <c r="O89" s="41">
        <f t="shared" si="13"/>
        <v>5.1995129411764707E-2</v>
      </c>
      <c r="P89" s="41">
        <f t="shared" si="13"/>
        <v>5.1995129411764707E-2</v>
      </c>
      <c r="Q89" s="41">
        <f t="shared" si="13"/>
        <v>5.1995129411764707E-2</v>
      </c>
    </row>
    <row r="90" spans="1:17" x14ac:dyDescent="0.25">
      <c r="A90" s="14" t="s">
        <v>45</v>
      </c>
      <c r="B90" s="14"/>
      <c r="C90" s="38">
        <f>C88/(1+C89)^C85</f>
        <v>4710.0978526113959</v>
      </c>
      <c r="D90" s="38">
        <f>D88/(1+D89)^D85</f>
        <v>4477.3000567456074</v>
      </c>
      <c r="E90" s="38">
        <f>E88/(1+E89)^E85</f>
        <v>4256.0083517203566</v>
      </c>
      <c r="F90" s="38">
        <f t="shared" ref="F90:Q90" si="14">F88/(1+F89)^F85</f>
        <v>4045.6540460412139</v>
      </c>
      <c r="G90" s="38">
        <f t="shared" si="14"/>
        <v>3845.6965559368973</v>
      </c>
      <c r="H90" s="38">
        <f t="shared" si="14"/>
        <v>3655.6220161278347</v>
      </c>
      <c r="I90" s="38">
        <f t="shared" si="14"/>
        <v>3474.941959257852</v>
      </c>
      <c r="J90" s="38">
        <f t="shared" si="14"/>
        <v>3303.1920605952869</v>
      </c>
      <c r="K90" s="38">
        <f t="shared" si="14"/>
        <v>3139.9309447775722</v>
      </c>
      <c r="L90" s="38">
        <f t="shared" si="14"/>
        <v>2984.7390515327784</v>
      </c>
      <c r="M90" s="38">
        <f t="shared" si="14"/>
        <v>2837.217557463151</v>
      </c>
      <c r="N90" s="38">
        <f t="shared" si="14"/>
        <v>2696.9873511197852</v>
      </c>
      <c r="O90" s="38">
        <f t="shared" si="14"/>
        <v>2563.6880587344899</v>
      </c>
      <c r="P90" s="38">
        <f t="shared" si="14"/>
        <v>2436.977118105106</v>
      </c>
      <c r="Q90" s="38">
        <f t="shared" si="14"/>
        <v>2316.5288982542816</v>
      </c>
    </row>
    <row r="91" spans="1:17" x14ac:dyDescent="0.25">
      <c r="A91" s="14" t="s">
        <v>46</v>
      </c>
      <c r="B91" s="14"/>
      <c r="C91" s="42">
        <f>SUM(C90:Q90)</f>
        <v>50744.581879023615</v>
      </c>
      <c r="D91" s="182"/>
    </row>
    <row r="92" spans="1:17" ht="13.8" thickBot="1" x14ac:dyDescent="0.3">
      <c r="A92" s="14" t="s">
        <v>49</v>
      </c>
      <c r="B92" s="14"/>
      <c r="C92" s="42">
        <f>-PMT(C89,ANNUALISED_CAP_COST!$B$27,C91)</f>
        <v>4955.0000000000045</v>
      </c>
      <c r="D92" s="182"/>
    </row>
    <row r="93" spans="1:17" ht="13.8" thickBot="1" x14ac:dyDescent="0.3">
      <c r="A93" s="14" t="s">
        <v>66</v>
      </c>
      <c r="B93" s="14"/>
      <c r="C93" s="16" t="s">
        <v>121</v>
      </c>
      <c r="E93" s="179"/>
    </row>
    <row r="94" spans="1:17" s="179" customFormat="1" ht="13.8" thickBot="1" x14ac:dyDescent="0.3">
      <c r="A94" s="20" t="s">
        <v>107</v>
      </c>
      <c r="B94" s="20"/>
      <c r="C94" s="31">
        <v>44012</v>
      </c>
      <c r="D94" s="112"/>
    </row>
    <row r="95" spans="1:17" s="179" customFormat="1" ht="13.8" thickBot="1" x14ac:dyDescent="0.3">
      <c r="A95" s="20" t="s">
        <v>108</v>
      </c>
      <c r="B95" s="20"/>
      <c r="C95" s="32">
        <v>45200</v>
      </c>
    </row>
    <row r="96" spans="1:17" ht="13.8" thickBot="1" x14ac:dyDescent="0.3">
      <c r="A96" s="9"/>
      <c r="B96" s="9"/>
      <c r="C96" s="9"/>
      <c r="D96" s="183"/>
      <c r="E96" s="183"/>
    </row>
    <row r="97" spans="1:11" ht="13.8" thickBot="1" x14ac:dyDescent="0.3">
      <c r="A97" s="14" t="s">
        <v>124</v>
      </c>
      <c r="B97" s="91">
        <f>ESCALATION_FACTORS!$B$4</f>
        <v>44377</v>
      </c>
      <c r="C97" s="100">
        <f>VLOOKUP($C$93,ESCALATION_FACTORS!$A$5:$E$9,2,)</f>
        <v>9.5999999999999992E-3</v>
      </c>
    </row>
    <row r="98" spans="1:11" s="179" customFormat="1" ht="13.8" thickBot="1" x14ac:dyDescent="0.3">
      <c r="A98" s="20"/>
      <c r="B98" s="91">
        <f>ESCALATION_FACTORS!$C$4</f>
        <v>44742</v>
      </c>
      <c r="C98" s="100">
        <f>VLOOKUP($C$93,ESCALATION_FACTORS!$A$5:$E$9,3,)</f>
        <v>9.4999999999999998E-3</v>
      </c>
      <c r="D98" s="183"/>
      <c r="E98" s="183"/>
    </row>
    <row r="99" spans="1:11" s="179" customFormat="1" ht="13.8" thickBot="1" x14ac:dyDescent="0.3">
      <c r="A99" s="20"/>
      <c r="B99" s="91">
        <f>ESCALATION_FACTORS!$D$4</f>
        <v>45107</v>
      </c>
      <c r="C99" s="100">
        <f>VLOOKUP($C$93,ESCALATION_FACTORS!$A$5:$E$9,4,)</f>
        <v>1.6799999999999999E-2</v>
      </c>
      <c r="D99" s="183"/>
      <c r="E99" s="183"/>
    </row>
    <row r="100" spans="1:11" s="179" customFormat="1" ht="13.8" thickBot="1" x14ac:dyDescent="0.3">
      <c r="A100" s="9"/>
      <c r="B100" s="91">
        <f>ESCALATION_FACTORS!$E$4</f>
        <v>45473</v>
      </c>
      <c r="C100" s="100">
        <f>VLOOKUP($C$93,ESCALATION_FACTORS!$A$5:$E$9,5,)</f>
        <v>2.53E-2</v>
      </c>
      <c r="D100" s="183"/>
      <c r="E100" s="183"/>
    </row>
    <row r="101" spans="1:11" s="179" customFormat="1" ht="13.8" thickBot="1" x14ac:dyDescent="0.3">
      <c r="A101" s="20"/>
      <c r="B101" s="20"/>
      <c r="C101" s="20"/>
      <c r="D101" s="183"/>
      <c r="E101" s="183"/>
    </row>
    <row r="102" spans="1:11" ht="13.8" thickBot="1" x14ac:dyDescent="0.3">
      <c r="A102" s="14" t="s">
        <v>48</v>
      </c>
      <c r="B102" s="14"/>
      <c r="C102" s="86">
        <f>(C92*IF(C94&lt;=B97,(1+C97)^((MIN(C95,B97)-MAX(C94,DATE(YEAR(B97)-1,6,30)))/(B97-DATE(YEAR(B97)-1,6,30))),1)*IF(AND(C94&lt;=B98,C95&gt;=B97),(1+C98)^((MIN(C95,B98)-MAX(C94,B97))/(B98-B97)),1)*IF(AND(C94&lt;=B99,C95&gt;=B98),(1+C99)^((MIN(C95,B99)-MAX(C94,B98))/(B99-B98)),1)*IF(C95&gt;=B99,(1+C100)^((MIN(C95,B100)-MAX(C94,B99))/(B100-B99)),1))/BRCP_Calculation!B16</f>
        <v>33.935105514695152</v>
      </c>
      <c r="D102" s="112" t="s">
        <v>52</v>
      </c>
      <c r="K102" s="184"/>
    </row>
    <row r="103" spans="1:11" x14ac:dyDescent="0.25">
      <c r="A103" s="9"/>
      <c r="B103" s="9"/>
      <c r="C103" s="9"/>
      <c r="K103" s="185"/>
    </row>
    <row r="104" spans="1:11" ht="13.8" thickBot="1" x14ac:dyDescent="0.3">
      <c r="A104" s="9"/>
      <c r="B104" s="9"/>
      <c r="C104" s="9"/>
    </row>
    <row r="105" spans="1:11" ht="18" thickBot="1" x14ac:dyDescent="0.35">
      <c r="A105" s="46" t="s">
        <v>101</v>
      </c>
      <c r="B105" s="46"/>
      <c r="C105" s="10"/>
    </row>
    <row r="106" spans="1:11" ht="13.8" thickBot="1" x14ac:dyDescent="0.3">
      <c r="A106" s="23" t="s">
        <v>137</v>
      </c>
      <c r="B106" s="86">
        <f>(PC!C16*(1+M!B3)*PC!C4)</f>
        <v>145080219.21147704</v>
      </c>
      <c r="C106" s="19"/>
      <c r="D106" s="179"/>
      <c r="E106" s="179"/>
      <c r="F106" s="179"/>
      <c r="G106" s="179"/>
    </row>
    <row r="107" spans="1:11" ht="13.8" thickBot="1" x14ac:dyDescent="0.3">
      <c r="A107" s="23" t="s">
        <v>134</v>
      </c>
      <c r="B107" s="86">
        <f>FFC!C18</f>
        <v>6915716.9810821163</v>
      </c>
      <c r="C107" s="19"/>
      <c r="D107" s="179"/>
      <c r="E107" s="179"/>
      <c r="F107" s="179"/>
      <c r="G107" s="179"/>
    </row>
    <row r="108" spans="1:11" ht="13.8" thickBot="1" x14ac:dyDescent="0.3">
      <c r="A108" s="26" t="s">
        <v>133</v>
      </c>
      <c r="B108" s="131">
        <v>3.686E-3</v>
      </c>
      <c r="C108" s="19"/>
      <c r="D108" s="179"/>
      <c r="E108" s="179"/>
      <c r="F108" s="179"/>
      <c r="G108" s="179"/>
    </row>
    <row r="109" spans="1:11" ht="13.8" thickBot="1" x14ac:dyDescent="0.3">
      <c r="A109" s="23" t="s">
        <v>131</v>
      </c>
      <c r="B109" s="281">
        <f>1/(1-0.026)</f>
        <v>1.0266940451745381</v>
      </c>
      <c r="C109" s="19"/>
      <c r="D109" s="179"/>
      <c r="E109" s="179"/>
      <c r="F109" s="179"/>
      <c r="G109" s="179"/>
    </row>
    <row r="110" spans="1:11" ht="13.8" thickBot="1" x14ac:dyDescent="0.3">
      <c r="A110" s="23" t="s">
        <v>132</v>
      </c>
      <c r="B110" s="132">
        <v>1.1000000000000001</v>
      </c>
      <c r="C110" s="19"/>
      <c r="D110" s="121" t="s">
        <v>255</v>
      </c>
      <c r="E110" s="26" t="s">
        <v>136</v>
      </c>
      <c r="F110" s="179"/>
      <c r="G110" s="179"/>
    </row>
    <row r="111" spans="1:11" ht="13.8" thickBot="1" x14ac:dyDescent="0.3">
      <c r="A111" s="105" t="s">
        <v>118</v>
      </c>
      <c r="B111" s="136"/>
      <c r="C111" s="43">
        <f>(B106+B107)*B108*B109*B110</f>
        <v>632733.80173136608</v>
      </c>
      <c r="E111" s="179"/>
      <c r="G111" s="110"/>
    </row>
    <row r="112" spans="1:11" s="180" customFormat="1" ht="13.8" thickBot="1" x14ac:dyDescent="0.3">
      <c r="A112" s="135" t="s">
        <v>156</v>
      </c>
      <c r="B112" s="133">
        <v>151700</v>
      </c>
      <c r="C112" s="106"/>
      <c r="D112" s="107">
        <f>BRCP_Calculation!B3</f>
        <v>151694.60716682399</v>
      </c>
      <c r="E112" s="106" t="b">
        <f>(ROUND(B112,-2))=(ROUND(D112,-2))</f>
        <v>1</v>
      </c>
      <c r="F112" s="188"/>
      <c r="G112" s="187"/>
    </row>
    <row r="113" spans="1:9" ht="13.8" thickBot="1" x14ac:dyDescent="0.3">
      <c r="A113" s="105" t="s">
        <v>120</v>
      </c>
      <c r="B113" s="119"/>
      <c r="C113" s="43">
        <f>(2*B112*PC!C4)*B108*B109*B110</f>
        <v>192330.20909568793</v>
      </c>
      <c r="E113" s="179"/>
    </row>
    <row r="114" spans="1:9" ht="13.8" thickBot="1" x14ac:dyDescent="0.3">
      <c r="A114" s="105" t="s">
        <v>119</v>
      </c>
      <c r="B114" s="115">
        <v>133089</v>
      </c>
      <c r="C114" s="9"/>
      <c r="D114" s="181"/>
      <c r="E114" s="111"/>
    </row>
    <row r="115" spans="1:9" ht="13.8" thickBot="1" x14ac:dyDescent="0.3">
      <c r="A115" s="165" t="s">
        <v>138</v>
      </c>
      <c r="B115" s="115">
        <v>10000</v>
      </c>
      <c r="C115" s="43">
        <f>IF(AND(C119&gt;=B123,C119&lt;=B124),(B114+B115)*(1+C122)*(1+C123)*(1+C124)^((C119-B123)/(B124-B123)),NA())</f>
        <v>150364.10672027143</v>
      </c>
      <c r="D115" s="181"/>
      <c r="E115" s="189"/>
    </row>
    <row r="116" spans="1:9" ht="13.8" thickBot="1" x14ac:dyDescent="0.3">
      <c r="A116" s="20" t="s">
        <v>102</v>
      </c>
      <c r="B116" s="183"/>
      <c r="C116" s="43">
        <f>SUM(C111:C115)</f>
        <v>975428.11754732544</v>
      </c>
      <c r="D116" s="181"/>
      <c r="E116" s="190"/>
    </row>
    <row r="117" spans="1:9" s="179" customFormat="1" ht="13.8" thickBot="1" x14ac:dyDescent="0.3">
      <c r="A117" s="20"/>
      <c r="B117" s="183"/>
      <c r="C117" s="20"/>
      <c r="D117" s="183"/>
      <c r="E117" s="183"/>
    </row>
    <row r="118" spans="1:9" ht="13.8" thickBot="1" x14ac:dyDescent="0.3">
      <c r="A118" s="20" t="s">
        <v>66</v>
      </c>
      <c r="B118" s="183"/>
      <c r="C118" s="16" t="s">
        <v>65</v>
      </c>
      <c r="D118" s="191"/>
      <c r="E118" s="179"/>
    </row>
    <row r="119" spans="1:9" s="179" customFormat="1" ht="13.8" thickBot="1" x14ac:dyDescent="0.3">
      <c r="A119" s="20" t="s">
        <v>107</v>
      </c>
      <c r="B119" s="183"/>
      <c r="C119" s="31">
        <v>45017</v>
      </c>
      <c r="D119" s="192"/>
    </row>
    <row r="120" spans="1:9" s="179" customFormat="1" ht="13.8" thickBot="1" x14ac:dyDescent="0.3">
      <c r="A120" s="20" t="s">
        <v>108</v>
      </c>
      <c r="B120" s="183"/>
      <c r="C120" s="32">
        <v>45200</v>
      </c>
      <c r="D120" s="192"/>
    </row>
    <row r="121" spans="1:9" ht="13.8" thickBot="1" x14ac:dyDescent="0.3">
      <c r="A121" s="9"/>
      <c r="B121" s="9"/>
      <c r="C121" s="9"/>
      <c r="D121" s="183"/>
      <c r="E121" s="183"/>
    </row>
    <row r="122" spans="1:9" ht="13.8" thickBot="1" x14ac:dyDescent="0.3">
      <c r="A122" s="14" t="s">
        <v>124</v>
      </c>
      <c r="B122" s="91">
        <f>ESCALATION_FACTORS!$B$4</f>
        <v>44377</v>
      </c>
      <c r="C122" s="100">
        <f>VLOOKUP($C$118,ESCALATION_FACTORS!$A$5:$E$9,2,)</f>
        <v>2.2499999999999999E-2</v>
      </c>
      <c r="D122" s="179"/>
      <c r="E122" s="179"/>
      <c r="H122" s="193"/>
      <c r="I122" s="194"/>
    </row>
    <row r="123" spans="1:9" s="179" customFormat="1" ht="13.8" thickBot="1" x14ac:dyDescent="0.3">
      <c r="A123" s="20"/>
      <c r="B123" s="91">
        <f>ESCALATION_FACTORS!$C$4</f>
        <v>44742</v>
      </c>
      <c r="C123" s="100">
        <f>VLOOKUP($C$118,ESCALATION_FACTORS!$A$5:$E$9,3,)</f>
        <v>1.2500000000000001E-2</v>
      </c>
      <c r="D123" s="183"/>
      <c r="E123" s="183"/>
    </row>
    <row r="124" spans="1:9" s="179" customFormat="1" ht="13.8" thickBot="1" x14ac:dyDescent="0.3">
      <c r="A124" s="20"/>
      <c r="B124" s="91">
        <f>ESCALATION_FACTORS!$D$4</f>
        <v>45107</v>
      </c>
      <c r="C124" s="100">
        <f>VLOOKUP($C$118,ESCALATION_FACTORS!$A$5:$E$9,4,)</f>
        <v>0.02</v>
      </c>
      <c r="D124" s="183"/>
      <c r="E124" s="183"/>
    </row>
    <row r="125" spans="1:9" s="179" customFormat="1" ht="13.8" thickBot="1" x14ac:dyDescent="0.3">
      <c r="A125" s="9"/>
      <c r="B125" s="91">
        <f>ESCALATION_FACTORS!$E$4</f>
        <v>45473</v>
      </c>
      <c r="C125" s="100">
        <f>VLOOKUP($C$118,ESCALATION_FACTORS!$A$5:$E$9,5,)</f>
        <v>2.5000000000000001E-2</v>
      </c>
      <c r="D125" s="183"/>
      <c r="E125" s="183"/>
    </row>
    <row r="126" spans="1:9" s="179" customFormat="1" ht="13.8" thickBot="1" x14ac:dyDescent="0.3">
      <c r="A126" s="20"/>
      <c r="B126" s="20"/>
      <c r="C126" s="20"/>
      <c r="D126" s="183"/>
      <c r="E126" s="183"/>
    </row>
    <row r="127" spans="1:9" s="179" customFormat="1" ht="13.8" thickBot="1" x14ac:dyDescent="0.3">
      <c r="A127" s="20" t="s">
        <v>103</v>
      </c>
      <c r="B127" s="20"/>
      <c r="C127" s="86">
        <f>(C116*IF(C119&lt;=B122,(1+C122)^((MIN(C120,B122)-MAX(C119,DATE(YEAR(B141)-1,6,30)))/(B122-DATE(YEAR(B141)-1,6,30))),1)*IF(AND(C119&lt;=B123,C120&gt;=B122),(1+C123)^((MIN(C120,B123)-MAX(C119,B122))/(B123-B122)),1)*IF(AND(C119&lt;=B124,C120&gt;=B123),(1+C124)^((MIN(C120,B124)-MAX(C119,B123))/(B124-B123)),1)*IF(C120&gt;=B124,(1+C125)^((MIN(C120,B125)-MAX(C119,B124))/(B125-B124)),1))/BRCP_Calculation!B16</f>
        <v>6477.3581220379901</v>
      </c>
      <c r="D127" s="9" t="s">
        <v>52</v>
      </c>
    </row>
    <row r="128" spans="1:9" x14ac:dyDescent="0.25">
      <c r="A128" s="19"/>
      <c r="B128" s="19"/>
      <c r="C128" s="19"/>
      <c r="D128" s="179"/>
    </row>
    <row r="129" spans="1:6" ht="13.8" thickBot="1" x14ac:dyDescent="0.3">
      <c r="A129" s="9"/>
      <c r="B129" s="9"/>
      <c r="C129" s="9"/>
    </row>
    <row r="130" spans="1:6" ht="18" thickBot="1" x14ac:dyDescent="0.35">
      <c r="A130" s="6" t="s">
        <v>100</v>
      </c>
      <c r="B130" s="46"/>
      <c r="C130" s="10"/>
    </row>
    <row r="131" spans="1:6" ht="13.8" thickBot="1" x14ac:dyDescent="0.3">
      <c r="A131" s="19"/>
      <c r="B131" s="19"/>
      <c r="C131" s="19"/>
      <c r="D131" s="179"/>
    </row>
    <row r="132" spans="1:6" ht="13.8" thickBot="1" x14ac:dyDescent="0.3">
      <c r="A132" s="20" t="s">
        <v>68</v>
      </c>
      <c r="B132" s="21" t="s">
        <v>135</v>
      </c>
      <c r="C132" s="22"/>
      <c r="E132" s="179"/>
    </row>
    <row r="133" spans="1:6" ht="13.8" thickBot="1" x14ac:dyDescent="0.3">
      <c r="A133" s="23" t="s">
        <v>72</v>
      </c>
      <c r="B133" s="114">
        <v>2.1299999999999999E-3</v>
      </c>
      <c r="C133" s="44">
        <f>B133*PC!$C$4*1000*365</f>
        <v>118390.086</v>
      </c>
      <c r="D133" s="181"/>
      <c r="E133" s="179"/>
    </row>
    <row r="134" spans="1:6" ht="13.8" thickBot="1" x14ac:dyDescent="0.3">
      <c r="A134" s="23" t="s">
        <v>73</v>
      </c>
      <c r="B134" s="114">
        <v>8.9615899999999993</v>
      </c>
      <c r="C134" s="98">
        <f>B134*365</f>
        <v>3270.9803499999998</v>
      </c>
      <c r="E134" s="179"/>
    </row>
    <row r="135" spans="1:6" ht="13.8" thickBot="1" x14ac:dyDescent="0.3">
      <c r="A135" s="23" t="s">
        <v>71</v>
      </c>
      <c r="B135" s="114">
        <v>2.6280000000000001E-2</v>
      </c>
      <c r="C135" s="40">
        <f>B135*PC!$C$4*1000*365</f>
        <v>1460700.216</v>
      </c>
      <c r="D135" s="179"/>
      <c r="E135" s="179"/>
    </row>
    <row r="136" spans="1:6" ht="13.8" thickBot="1" x14ac:dyDescent="0.3">
      <c r="A136" s="20" t="s">
        <v>69</v>
      </c>
      <c r="B136" s="9"/>
      <c r="C136" s="99">
        <f>SUM(C133:C135)</f>
        <v>1582361.28235</v>
      </c>
      <c r="D136" s="179"/>
      <c r="E136" s="179"/>
      <c r="F136" s="195"/>
    </row>
    <row r="137" spans="1:6" ht="13.8" thickBot="1" x14ac:dyDescent="0.3">
      <c r="A137" s="24" t="s">
        <v>66</v>
      </c>
      <c r="B137" s="20"/>
      <c r="C137" s="33" t="s">
        <v>65</v>
      </c>
      <c r="D137" s="179"/>
      <c r="E137" s="179"/>
    </row>
    <row r="138" spans="1:6" s="179" customFormat="1" ht="13.8" thickBot="1" x14ac:dyDescent="0.3">
      <c r="A138" s="20" t="s">
        <v>107</v>
      </c>
      <c r="B138" s="20"/>
      <c r="C138" s="31">
        <v>44013</v>
      </c>
    </row>
    <row r="139" spans="1:6" s="179" customFormat="1" ht="13.8" thickBot="1" x14ac:dyDescent="0.3">
      <c r="A139" s="20" t="s">
        <v>108</v>
      </c>
      <c r="B139" s="20"/>
      <c r="C139" s="32">
        <v>45200</v>
      </c>
    </row>
    <row r="140" spans="1:6" ht="13.8" thickBot="1" x14ac:dyDescent="0.3">
      <c r="A140" s="9"/>
      <c r="B140" s="9"/>
      <c r="C140" s="20"/>
      <c r="D140" s="183"/>
      <c r="E140" s="179"/>
    </row>
    <row r="141" spans="1:6" ht="13.8" thickBot="1" x14ac:dyDescent="0.3">
      <c r="A141" s="14" t="s">
        <v>124</v>
      </c>
      <c r="B141" s="91">
        <f>ESCALATION_FACTORS!$B$4</f>
        <v>44377</v>
      </c>
      <c r="C141" s="100">
        <f>VLOOKUP($C$137,ESCALATION_FACTORS!$A$5:$E$9,2,)</f>
        <v>2.2499999999999999E-2</v>
      </c>
      <c r="E141" s="179"/>
    </row>
    <row r="142" spans="1:6" s="179" customFormat="1" ht="13.8" thickBot="1" x14ac:dyDescent="0.3">
      <c r="A142" s="20"/>
      <c r="B142" s="91">
        <f>ESCALATION_FACTORS!$C$4</f>
        <v>44742</v>
      </c>
      <c r="C142" s="100">
        <f>VLOOKUP($C$137,ESCALATION_FACTORS!$A$5:$E$9,3,)</f>
        <v>1.2500000000000001E-2</v>
      </c>
      <c r="D142" s="183"/>
    </row>
    <row r="143" spans="1:6" s="179" customFormat="1" ht="13.8" thickBot="1" x14ac:dyDescent="0.3">
      <c r="A143" s="20"/>
      <c r="B143" s="91">
        <f>ESCALATION_FACTORS!$D$4</f>
        <v>45107</v>
      </c>
      <c r="C143" s="100">
        <f>VLOOKUP($C$137,ESCALATION_FACTORS!$A$5:$E$9,4,)</f>
        <v>0.02</v>
      </c>
      <c r="D143" s="183"/>
    </row>
    <row r="144" spans="1:6" s="179" customFormat="1" ht="13.8" thickBot="1" x14ac:dyDescent="0.3">
      <c r="A144" s="9"/>
      <c r="B144" s="91">
        <f>ESCALATION_FACTORS!$E$4</f>
        <v>45473</v>
      </c>
      <c r="C144" s="100">
        <f>VLOOKUP($C$137,ESCALATION_FACTORS!$A$5:$E$9,5,)</f>
        <v>2.5000000000000001E-2</v>
      </c>
      <c r="D144" s="183"/>
    </row>
    <row r="145" spans="1:4" s="179" customFormat="1" ht="13.8" thickBot="1" x14ac:dyDescent="0.3">
      <c r="A145" s="20"/>
      <c r="B145" s="20"/>
      <c r="C145" s="20"/>
      <c r="D145" s="183"/>
    </row>
    <row r="146" spans="1:4" ht="13.8" thickBot="1" x14ac:dyDescent="0.3">
      <c r="A146" s="20" t="s">
        <v>70</v>
      </c>
      <c r="B146" s="9"/>
      <c r="C146" s="86">
        <f>(C136*IF(C138&lt;=B141,(1+C141)^((MIN(C139,B141)-MAX(C138,DATE(YEAR(B141)-1,6,30)))/(B141-DATE(YEAR(B141)-1,6,30))),1)*IF(AND(C138&lt;=B142,C139&gt;=B141),(1+C142)^((MIN(C139,B142)-MAX(C138,B141))/(B142-B141)),1)*IF(AND(C138&lt;=B143,C139&gt;=B142),(1+C143)^((MIN(C139,B143)-MAX(C138,B142))/(B143-B142)),1)*IF(C139&gt;=B143,(1+C144)^((MIN(C139,B144)-MAX(C138,B143))/(B144-B143)),1))/BRCP_Calculation!B16</f>
        <v>11041.288096116548</v>
      </c>
      <c r="D146" s="9" t="s">
        <v>52</v>
      </c>
    </row>
    <row r="147" spans="1:4" x14ac:dyDescent="0.25">
      <c r="A147" s="19"/>
      <c r="B147" s="9"/>
      <c r="C147" s="9"/>
    </row>
    <row r="148" spans="1:4" ht="13.8" thickBot="1" x14ac:dyDescent="0.3">
      <c r="A148" s="26"/>
      <c r="B148" s="9"/>
      <c r="C148" s="9"/>
    </row>
    <row r="149" spans="1:4" ht="18" thickBot="1" x14ac:dyDescent="0.35">
      <c r="A149" s="385" t="s">
        <v>79</v>
      </c>
      <c r="B149" s="386"/>
      <c r="C149" s="35">
        <f>SUM($C102,$C68,$C34,$C127,C146)</f>
        <v>32027.658870725267</v>
      </c>
    </row>
    <row r="150" spans="1:4" x14ac:dyDescent="0.25">
      <c r="A150" s="191"/>
      <c r="B150" s="191"/>
    </row>
  </sheetData>
  <sheetProtection algorithmName="SHA-512" hashValue="kJxTxcBpuVhXgOPbWNUsgpr0DX2wyDzhoSdkV/D6CYyRGnvySet/5zOLN/edn3EM5pDUQt2EQ48Hk45KwGYSPg==" saltValue="WoJstfaIclYf7R0ishCyiw==" spinCount="100000" sheet="1" formatCells="0" formatColumns="0" autoFilter="0"/>
  <mergeCells count="1">
    <mergeCell ref="A149:B149"/>
  </mergeCells>
  <phoneticPr fontId="8" type="noConversion"/>
  <pageMargins left="0.75" right="0.75" top="1" bottom="1" header="0.5" footer="0.5"/>
  <pageSetup paperSize="9" scale="3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F25"/>
  <sheetViews>
    <sheetView showGridLines="0" zoomScaleNormal="100" workbookViewId="0">
      <selection activeCell="C4" sqref="C4:C5"/>
    </sheetView>
  </sheetViews>
  <sheetFormatPr defaultColWidth="9.33203125" defaultRowHeight="13.2" x14ac:dyDescent="0.25"/>
  <cols>
    <col min="1" max="1" width="57.5546875" style="64" bestFit="1" customWidth="1"/>
    <col min="2" max="2" width="23.5546875" style="64" customWidth="1"/>
    <col min="3" max="3" width="15.44140625" style="64" customWidth="1"/>
    <col min="4" max="4" width="22.33203125" style="64" bestFit="1" customWidth="1"/>
    <col min="5" max="5" width="14" style="64" customWidth="1"/>
    <col min="6" max="6" width="11.44140625" style="64" bestFit="1" customWidth="1"/>
    <col min="7" max="7" width="6.33203125" style="64" bestFit="1" customWidth="1"/>
    <col min="8" max="8" width="22.33203125" style="64" bestFit="1" customWidth="1"/>
    <col min="9" max="16384" width="9.33203125" style="64"/>
  </cols>
  <sheetData>
    <row r="1" spans="1:6" s="8" customFormat="1" ht="18" thickBot="1" x14ac:dyDescent="0.35">
      <c r="A1" s="6" t="s">
        <v>0</v>
      </c>
      <c r="B1" s="78"/>
      <c r="C1" s="78"/>
      <c r="D1" s="7"/>
      <c r="E1" s="178"/>
    </row>
    <row r="2" spans="1:6" s="26" customFormat="1" ht="13.8" thickBot="1" x14ac:dyDescent="0.3">
      <c r="C2" s="19"/>
      <c r="E2" s="111"/>
    </row>
    <row r="3" spans="1:6" ht="13.8" thickBot="1" x14ac:dyDescent="0.3">
      <c r="A3" s="36" t="s">
        <v>1</v>
      </c>
      <c r="B3" s="79" t="s">
        <v>110</v>
      </c>
      <c r="C3" s="79" t="s">
        <v>2</v>
      </c>
      <c r="D3" s="79" t="s">
        <v>19</v>
      </c>
      <c r="E3" s="110"/>
    </row>
    <row r="4" spans="1:6" ht="13.8" thickBot="1" x14ac:dyDescent="0.3">
      <c r="A4" s="80" t="s">
        <v>10</v>
      </c>
      <c r="B4" s="80" t="s">
        <v>90</v>
      </c>
      <c r="C4" s="147">
        <f>ROUND('WACC nominal risk free rate'!F28*100,4)</f>
        <v>0.80189999999999995</v>
      </c>
      <c r="D4" s="197">
        <f>C4/100</f>
        <v>8.0190000000000001E-3</v>
      </c>
      <c r="E4" s="186"/>
      <c r="F4" s="26"/>
    </row>
    <row r="5" spans="1:6" ht="13.8" thickBot="1" x14ac:dyDescent="0.3">
      <c r="A5" s="80" t="s">
        <v>3</v>
      </c>
      <c r="B5" s="80" t="s">
        <v>90</v>
      </c>
      <c r="C5" s="147">
        <f>ROUND('WACC expected inflation'!C7*100,2)</f>
        <v>2.3199999999999998</v>
      </c>
      <c r="D5" s="148">
        <f>C5/100</f>
        <v>2.3199999999999998E-2</v>
      </c>
      <c r="E5" s="186"/>
      <c r="F5" s="26"/>
    </row>
    <row r="6" spans="1:6" ht="13.8" thickBot="1" x14ac:dyDescent="0.3">
      <c r="A6" s="80" t="s">
        <v>4</v>
      </c>
      <c r="B6" s="80" t="s">
        <v>90</v>
      </c>
      <c r="C6" s="177">
        <f>((1+C4/100)/(1+C5/100)-1)*100</f>
        <v>-1.483678655199383</v>
      </c>
      <c r="D6" s="149">
        <f>C6/100</f>
        <v>-1.483678655199383E-2</v>
      </c>
      <c r="E6" s="186"/>
      <c r="F6" s="26"/>
    </row>
    <row r="7" spans="1:6" ht="13.8" thickBot="1" x14ac:dyDescent="0.3">
      <c r="A7" s="23" t="s">
        <v>11</v>
      </c>
      <c r="B7" s="23" t="s">
        <v>91</v>
      </c>
      <c r="C7" s="30">
        <v>5.9</v>
      </c>
      <c r="D7" s="23">
        <f>C7/100</f>
        <v>5.9000000000000004E-2</v>
      </c>
      <c r="E7" s="186"/>
      <c r="F7" s="26"/>
    </row>
    <row r="8" spans="1:6" ht="13.8" thickBot="1" x14ac:dyDescent="0.3">
      <c r="A8" s="23" t="s">
        <v>5</v>
      </c>
      <c r="B8" s="23" t="s">
        <v>91</v>
      </c>
      <c r="C8" s="30">
        <v>0.5</v>
      </c>
      <c r="D8" s="23">
        <f>C8</f>
        <v>0.5</v>
      </c>
      <c r="E8" s="186"/>
      <c r="F8" s="26"/>
    </row>
    <row r="9" spans="1:6" ht="13.8" thickBot="1" x14ac:dyDescent="0.3">
      <c r="A9" s="23" t="s">
        <v>6</v>
      </c>
      <c r="B9" s="23" t="s">
        <v>91</v>
      </c>
      <c r="C9" s="30">
        <v>0.83</v>
      </c>
      <c r="D9" s="23">
        <f>C9</f>
        <v>0.83</v>
      </c>
      <c r="E9" s="186"/>
      <c r="F9" s="26"/>
    </row>
    <row r="10" spans="1:6" ht="13.8" thickBot="1" x14ac:dyDescent="0.3">
      <c r="A10" s="80" t="s">
        <v>92</v>
      </c>
      <c r="B10" s="23" t="s">
        <v>90</v>
      </c>
      <c r="C10" s="114">
        <v>2.04</v>
      </c>
      <c r="D10" s="23">
        <f>C10/100</f>
        <v>2.0400000000000001E-2</v>
      </c>
      <c r="E10" s="186"/>
      <c r="F10" s="26"/>
    </row>
    <row r="11" spans="1:6" ht="13.8" thickBot="1" x14ac:dyDescent="0.3">
      <c r="A11" s="23" t="s">
        <v>95</v>
      </c>
      <c r="B11" s="23" t="s">
        <v>96</v>
      </c>
      <c r="C11" s="30">
        <v>0.1</v>
      </c>
      <c r="D11" s="23">
        <f>C11/100</f>
        <v>1E-3</v>
      </c>
      <c r="E11" s="186"/>
      <c r="F11" s="26"/>
    </row>
    <row r="12" spans="1:6" ht="13.8" thickBot="1" x14ac:dyDescent="0.3">
      <c r="A12" s="23" t="s">
        <v>7</v>
      </c>
      <c r="B12" s="23" t="s">
        <v>90</v>
      </c>
      <c r="C12" s="29">
        <v>30</v>
      </c>
      <c r="D12" s="23">
        <f>C12/100</f>
        <v>0.3</v>
      </c>
      <c r="E12" s="186"/>
      <c r="F12" s="26"/>
    </row>
    <row r="13" spans="1:6" ht="13.8" thickBot="1" x14ac:dyDescent="0.3">
      <c r="A13" s="23" t="s">
        <v>12</v>
      </c>
      <c r="B13" s="23" t="s">
        <v>91</v>
      </c>
      <c r="C13" s="30">
        <v>0.5</v>
      </c>
      <c r="D13" s="23">
        <f>C13</f>
        <v>0.5</v>
      </c>
      <c r="E13" s="186"/>
      <c r="F13" s="26"/>
    </row>
    <row r="14" spans="1:6" ht="13.8" thickBot="1" x14ac:dyDescent="0.3">
      <c r="A14" s="23" t="s">
        <v>8</v>
      </c>
      <c r="B14" s="23" t="s">
        <v>91</v>
      </c>
      <c r="C14" s="30">
        <v>40</v>
      </c>
      <c r="D14" s="23">
        <f>C14/100</f>
        <v>0.4</v>
      </c>
      <c r="E14" s="186"/>
      <c r="F14" s="26"/>
    </row>
    <row r="15" spans="1:6" ht="13.8" thickBot="1" x14ac:dyDescent="0.3">
      <c r="A15" s="23" t="s">
        <v>9</v>
      </c>
      <c r="B15" s="23" t="s">
        <v>91</v>
      </c>
      <c r="C15" s="30">
        <v>60</v>
      </c>
      <c r="D15" s="23">
        <f>C15/100</f>
        <v>0.6</v>
      </c>
      <c r="E15" s="186"/>
      <c r="F15" s="26"/>
    </row>
    <row r="16" spans="1:6" ht="13.8" thickBot="1" x14ac:dyDescent="0.3">
      <c r="C16" s="196"/>
      <c r="D16" s="110"/>
      <c r="E16" s="186"/>
    </row>
    <row r="17" spans="1:5" ht="13.8" thickBot="1" x14ac:dyDescent="0.3">
      <c r="A17" s="81" t="s">
        <v>25</v>
      </c>
      <c r="B17" s="82">
        <f>D4+D10+D11</f>
        <v>2.9419000000000001E-2</v>
      </c>
      <c r="C17" s="110"/>
      <c r="D17" s="110"/>
      <c r="E17" s="186"/>
    </row>
    <row r="18" spans="1:5" ht="13.8" thickBot="1" x14ac:dyDescent="0.3">
      <c r="A18" s="81" t="s">
        <v>24</v>
      </c>
      <c r="B18" s="83">
        <f>D4+(D9*D7)</f>
        <v>5.6988999999999998E-2</v>
      </c>
      <c r="C18" s="110"/>
      <c r="D18" s="110"/>
      <c r="E18" s="186"/>
    </row>
    <row r="19" spans="1:5" ht="13.8" thickBot="1" x14ac:dyDescent="0.3">
      <c r="A19" s="26"/>
      <c r="B19" s="80"/>
      <c r="C19" s="110"/>
      <c r="D19" s="110"/>
      <c r="E19" s="186"/>
    </row>
    <row r="20" spans="1:5" ht="13.8" thickBot="1" x14ac:dyDescent="0.3">
      <c r="A20" s="24" t="s">
        <v>27</v>
      </c>
      <c r="B20" s="83">
        <f>((1/(1-D12*(1-D13)))*(B18*D15))+(B17*D14)</f>
        <v>5.1995129411764707E-2</v>
      </c>
      <c r="C20" s="110"/>
      <c r="D20" s="110"/>
      <c r="E20" s="186"/>
    </row>
    <row r="21" spans="1:5" ht="13.8" thickBot="1" x14ac:dyDescent="0.3">
      <c r="A21" s="24" t="s">
        <v>26</v>
      </c>
      <c r="B21" s="84">
        <f>((1+B20)/(1+D5))-1</f>
        <v>2.8142229683116193E-2</v>
      </c>
      <c r="C21" s="110"/>
      <c r="D21" s="110"/>
      <c r="E21" s="186"/>
    </row>
    <row r="22" spans="1:5" x14ac:dyDescent="0.25">
      <c r="C22" s="110"/>
      <c r="D22" s="110"/>
      <c r="E22" s="110"/>
    </row>
    <row r="23" spans="1:5" x14ac:dyDescent="0.25">
      <c r="C23" s="110"/>
      <c r="D23" s="110"/>
      <c r="E23" s="110"/>
    </row>
    <row r="24" spans="1:5" x14ac:dyDescent="0.25">
      <c r="A24" s="153" t="s">
        <v>237</v>
      </c>
      <c r="B24" s="154"/>
      <c r="C24" s="110"/>
      <c r="D24" s="110"/>
      <c r="E24" s="110"/>
    </row>
    <row r="25" spans="1:5" x14ac:dyDescent="0.25">
      <c r="A25" s="155" t="s">
        <v>236</v>
      </c>
      <c r="C25" s="110"/>
      <c r="D25" s="110"/>
      <c r="E25" s="110"/>
    </row>
  </sheetData>
  <sheetProtection algorithmName="SHA-512" hashValue="+R7RUC/mKs7cHSej8Ro5jQ3MpCIToc63jc3MzXulhS7XEGSPKHDY+Mg+uilE0jBn7XrSCSZ9z3A0cEL3/bbjEQ==" saltValue="vBwSGCFFgJTLMNnVLxMOlw==" spinCount="100000" sheet="1" formatCells="0" formatColumns="0" formatRows="0"/>
  <phoneticPr fontId="8" type="noConversion"/>
  <pageMargins left="0.75" right="0.75" top="1" bottom="1" header="0.5" footer="0.5"/>
  <pageSetup paperSize="9" orientation="landscape" r:id="rId1"/>
  <headerFooter alignWithMargins="0"/>
  <ignoredErrors>
    <ignoredError sqref="D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H16"/>
  <sheetViews>
    <sheetView showGridLines="0" workbookViewId="0">
      <selection activeCell="C9" sqref="C9"/>
    </sheetView>
  </sheetViews>
  <sheetFormatPr defaultColWidth="9.33203125" defaultRowHeight="13.2" x14ac:dyDescent="0.25"/>
  <cols>
    <col min="1" max="1" width="32.6640625" style="112" bestFit="1" customWidth="1"/>
    <col min="2" max="2" width="15" style="112" customWidth="1"/>
    <col min="3" max="3" width="22.33203125" style="112" bestFit="1" customWidth="1"/>
    <col min="4" max="4" width="9.33203125" style="112"/>
    <col min="5" max="5" width="13.33203125" style="112" bestFit="1" customWidth="1"/>
    <col min="6" max="6" width="9.33203125" style="112"/>
    <col min="7" max="7" width="10.33203125" style="112" bestFit="1" customWidth="1"/>
    <col min="8" max="16384" width="9.33203125" style="112"/>
  </cols>
  <sheetData>
    <row r="1" spans="1:8" s="178" customFormat="1" ht="18" thickBot="1" x14ac:dyDescent="0.35">
      <c r="A1" s="282" t="s">
        <v>84</v>
      </c>
      <c r="B1" s="283"/>
      <c r="C1" s="284"/>
    </row>
    <row r="2" spans="1:8" ht="13.8" thickBot="1" x14ac:dyDescent="0.3">
      <c r="A2" s="9"/>
      <c r="B2" s="9"/>
      <c r="C2" s="9"/>
      <c r="E2" s="183"/>
    </row>
    <row r="3" spans="1:8" ht="13.8" thickBot="1" x14ac:dyDescent="0.3">
      <c r="A3" s="121" t="s">
        <v>151</v>
      </c>
      <c r="B3" s="9"/>
      <c r="C3" s="2">
        <v>140028545</v>
      </c>
      <c r="E3" s="179"/>
    </row>
    <row r="4" spans="1:8" ht="13.8" thickBot="1" x14ac:dyDescent="0.3">
      <c r="A4" s="9" t="s">
        <v>28</v>
      </c>
      <c r="B4" s="9"/>
      <c r="C4" s="129">
        <v>152.28</v>
      </c>
      <c r="D4" s="110"/>
      <c r="E4" s="179"/>
    </row>
    <row r="5" spans="1:8" ht="13.8" thickBot="1" x14ac:dyDescent="0.3">
      <c r="A5" s="9"/>
      <c r="B5" s="9"/>
      <c r="C5" s="25"/>
      <c r="E5" s="179"/>
    </row>
    <row r="6" spans="1:8" ht="13.8" thickBot="1" x14ac:dyDescent="0.3">
      <c r="A6" s="9" t="s">
        <v>29</v>
      </c>
      <c r="B6" s="9"/>
      <c r="C6" s="43">
        <f>C3/C4</f>
        <v>919546.52613606513</v>
      </c>
      <c r="E6" s="179"/>
    </row>
    <row r="7" spans="1:8" ht="13.8" thickBot="1" x14ac:dyDescent="0.3">
      <c r="A7" s="9"/>
      <c r="B7" s="9"/>
      <c r="C7" s="25"/>
      <c r="E7" s="179"/>
    </row>
    <row r="8" spans="1:8" ht="13.8" thickBot="1" x14ac:dyDescent="0.3">
      <c r="A8" s="9" t="s">
        <v>66</v>
      </c>
      <c r="B8" s="9"/>
      <c r="C8" s="33" t="s">
        <v>78</v>
      </c>
      <c r="E8" s="179"/>
    </row>
    <row r="9" spans="1:8" s="179" customFormat="1" ht="13.8" thickBot="1" x14ac:dyDescent="0.3">
      <c r="A9" s="20" t="s">
        <v>107</v>
      </c>
      <c r="B9" s="20"/>
      <c r="C9" s="31">
        <v>44012</v>
      </c>
    </row>
    <row r="10" spans="1:8" s="179" customFormat="1" ht="13.8" thickBot="1" x14ac:dyDescent="0.3">
      <c r="A10" s="20" t="s">
        <v>108</v>
      </c>
      <c r="B10" s="20"/>
      <c r="C10" s="32">
        <v>45017</v>
      </c>
    </row>
    <row r="11" spans="1:8" ht="13.8" thickBot="1" x14ac:dyDescent="0.3">
      <c r="A11" s="9"/>
      <c r="B11" s="9"/>
      <c r="C11" s="9"/>
      <c r="D11" s="183"/>
    </row>
    <row r="12" spans="1:8" ht="13.8" thickBot="1" x14ac:dyDescent="0.3">
      <c r="A12" s="14" t="s">
        <v>124</v>
      </c>
      <c r="B12" s="91">
        <f>ESCALATION_FACTORS!$B$4</f>
        <v>44377</v>
      </c>
      <c r="C12" s="140">
        <f>ESCALATION_FACTORS!B5</f>
        <v>-7.8369999999999995E-2</v>
      </c>
    </row>
    <row r="13" spans="1:8" ht="13.8" thickBot="1" x14ac:dyDescent="0.3">
      <c r="A13" s="20"/>
      <c r="B13" s="91">
        <f>ESCALATION_FACTORS!$C$4</f>
        <v>44742</v>
      </c>
      <c r="C13" s="140">
        <f>ESCALATION_FACTORS!C5</f>
        <v>-3.6450000000000003E-2</v>
      </c>
    </row>
    <row r="14" spans="1:8" ht="13.8" thickBot="1" x14ac:dyDescent="0.3">
      <c r="A14" s="20"/>
      <c r="B14" s="91">
        <f>ESCALATION_FACTORS!$D$4</f>
        <v>45107</v>
      </c>
      <c r="C14" s="140">
        <f>ESCALATION_FACTORS!D5</f>
        <v>-2.5000000000000001E-4</v>
      </c>
    </row>
    <row r="15" spans="1:8" s="179" customFormat="1" ht="13.8" thickBot="1" x14ac:dyDescent="0.3">
      <c r="A15" s="20"/>
      <c r="B15" s="20"/>
      <c r="C15" s="20"/>
      <c r="D15" s="183"/>
      <c r="E15" s="183"/>
      <c r="H15" s="285"/>
    </row>
    <row r="16" spans="1:8" ht="13.8" thickBot="1" x14ac:dyDescent="0.3">
      <c r="A16" s="20" t="s">
        <v>84</v>
      </c>
      <c r="B16" s="20"/>
      <c r="C16" s="86">
        <f>C6*IF(C9&lt;=B12,(1+C12)^((MIN(C10,B12)-MAX(C9,DATE(YEAR(B12)-1,6,30)))/(B12-DATE(YEAR(B12)-1,6,30))),1)*IF(AND(C9&lt;=B13,C10&gt;=B12),(1+C13)^((MIN(C10,B13)-MAX(C9,B12))/(B13-B12)),1)*IF(C10&gt;=B13,(1+C14)^((C10-MAX(C9,B13))/(B14-B13)),1)</f>
        <v>816437.14351583796</v>
      </c>
      <c r="F16" s="286"/>
      <c r="G16" s="194"/>
      <c r="H16" s="119"/>
    </row>
  </sheetData>
  <sheetProtection algorithmName="SHA-512" hashValue="3/SmsS1+zMP4z93XdxA5gQzejhiM95MZPspmDrQ8XbkRfjzwlv09eVrCJUTYp9w4qfu8ffLYWGOdXu9x8XQM9Q==" saltValue="Ve4KpmpJ9ZfpzkfyCGTseg==" spinCount="100000" sheet="1" formatCells="0" formatColumns="0" formatRows="0" selectLockedCells="1"/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D6"/>
  <sheetViews>
    <sheetView showGridLines="0" zoomScaleNormal="100" workbookViewId="0">
      <selection activeCell="B3" sqref="B3"/>
    </sheetView>
  </sheetViews>
  <sheetFormatPr defaultColWidth="9.33203125" defaultRowHeight="13.2" x14ac:dyDescent="0.25"/>
  <cols>
    <col min="1" max="1" width="32.6640625" style="9" bestFit="1" customWidth="1"/>
    <col min="2" max="16384" width="9.33203125" style="9"/>
  </cols>
  <sheetData>
    <row r="1" spans="1:4" s="8" customFormat="1" ht="18" thickBot="1" x14ac:dyDescent="0.35">
      <c r="A1" s="6" t="s">
        <v>15</v>
      </c>
      <c r="B1" s="7"/>
    </row>
    <row r="2" spans="1:4" ht="13.8" thickBot="1" x14ac:dyDescent="0.3">
      <c r="D2" s="19"/>
    </row>
    <row r="3" spans="1:4" ht="13.8" thickBot="1" x14ac:dyDescent="0.3">
      <c r="A3" s="14" t="s">
        <v>30</v>
      </c>
      <c r="B3" s="280">
        <f>23374128/140028545</f>
        <v>0.16692402252697833</v>
      </c>
      <c r="D3" s="19"/>
    </row>
    <row r="4" spans="1:4" x14ac:dyDescent="0.25">
      <c r="D4" s="19"/>
    </row>
    <row r="5" spans="1:4" x14ac:dyDescent="0.25">
      <c r="D5" s="19"/>
    </row>
    <row r="6" spans="1:4" x14ac:dyDescent="0.25">
      <c r="D6" s="19"/>
    </row>
  </sheetData>
  <sheetProtection algorithmName="SHA-512" hashValue="KuzG+dOcBAzv4cx5Q8jueju4gwr9crwJGDTIloRHKl+Bz+w9Clmp3yzBH5lIQCPSuoBj9lKTUBBeTE/RqOTUgw==" saltValue="YLxoFk1SWPes73LK0YD2/g==" spinCount="100000" sheet="1" formatCells="0" formatColumns="0" formatRows="0"/>
  <phoneticPr fontId="8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I17"/>
  <sheetViews>
    <sheetView showGridLines="0" zoomScaleNormal="100" workbookViewId="0">
      <selection activeCell="B7" sqref="B7"/>
    </sheetView>
  </sheetViews>
  <sheetFormatPr defaultColWidth="9.33203125" defaultRowHeight="13.2" x14ac:dyDescent="0.25"/>
  <cols>
    <col min="1" max="1" width="31.33203125" style="9" customWidth="1"/>
    <col min="2" max="2" width="30.5546875" style="9" customWidth="1"/>
    <col min="3" max="3" width="9.33203125" style="9"/>
    <col min="4" max="4" width="11.33203125" style="9" bestFit="1" customWidth="1"/>
    <col min="5" max="6" width="9.33203125" style="9"/>
    <col min="7" max="7" width="9.33203125" style="9" customWidth="1"/>
    <col min="8" max="8" width="9.33203125" style="9"/>
    <col min="9" max="9" width="9.33203125" style="9" customWidth="1"/>
    <col min="10" max="16384" width="9.33203125" style="9"/>
  </cols>
  <sheetData>
    <row r="1" spans="1:9" s="19" customFormat="1" ht="18" thickBot="1" x14ac:dyDescent="0.35">
      <c r="A1" s="6" t="s">
        <v>125</v>
      </c>
      <c r="B1" s="27"/>
      <c r="D1" s="26"/>
    </row>
    <row r="2" spans="1:9" ht="13.5" customHeight="1" thickBot="1" x14ac:dyDescent="0.3">
      <c r="D2" s="19"/>
    </row>
    <row r="3" spans="1:9" ht="13.8" thickBot="1" x14ac:dyDescent="0.3">
      <c r="A3" s="14" t="s">
        <v>98</v>
      </c>
      <c r="B3" s="115">
        <v>180927</v>
      </c>
      <c r="D3" s="137"/>
    </row>
    <row r="4" spans="1:9" ht="13.8" thickBot="1" x14ac:dyDescent="0.3">
      <c r="A4" s="12"/>
      <c r="D4" s="19"/>
    </row>
    <row r="5" spans="1:9" x14ac:dyDescent="0.25">
      <c r="A5" s="80" t="s">
        <v>97</v>
      </c>
      <c r="B5" s="34" t="s">
        <v>122</v>
      </c>
      <c r="D5" s="19"/>
    </row>
    <row r="6" spans="1:9" s="19" customFormat="1" ht="13.8" thickBot="1" x14ac:dyDescent="0.3">
      <c r="A6" s="20" t="s">
        <v>107</v>
      </c>
      <c r="B6" s="32">
        <v>45017</v>
      </c>
    </row>
    <row r="7" spans="1:9" s="19" customFormat="1" ht="13.8" thickBot="1" x14ac:dyDescent="0.3">
      <c r="A7" s="20" t="s">
        <v>108</v>
      </c>
      <c r="B7" s="32">
        <v>45017</v>
      </c>
    </row>
    <row r="8" spans="1:9" ht="13.8" thickBot="1" x14ac:dyDescent="0.3">
      <c r="C8" s="20"/>
      <c r="D8" s="20"/>
    </row>
    <row r="9" spans="1:9" ht="13.8" thickBot="1" x14ac:dyDescent="0.3">
      <c r="A9" s="92" t="s">
        <v>67</v>
      </c>
      <c r="B9" s="93">
        <f>VLOOKUP(B5,ESCALATION_FACTORS!$A$5:$D$9,2,)</f>
        <v>7.3000000000000001E-3</v>
      </c>
      <c r="D9" s="19"/>
    </row>
    <row r="10" spans="1:9" ht="13.8" thickBot="1" x14ac:dyDescent="0.3">
      <c r="D10" s="19"/>
    </row>
    <row r="11" spans="1:9" ht="13.8" thickBot="1" x14ac:dyDescent="0.3">
      <c r="A11" s="14" t="s">
        <v>85</v>
      </c>
      <c r="B11" s="35">
        <f>B3*(1+B9)^((B7-B6)/365)</f>
        <v>180927</v>
      </c>
      <c r="D11" s="19"/>
    </row>
    <row r="12" spans="1:9" x14ac:dyDescent="0.25">
      <c r="D12" s="19"/>
    </row>
    <row r="13" spans="1:9" x14ac:dyDescent="0.25">
      <c r="D13" s="19"/>
    </row>
    <row r="14" spans="1:9" x14ac:dyDescent="0.25">
      <c r="D14" s="19"/>
    </row>
    <row r="15" spans="1:9" x14ac:dyDescent="0.25">
      <c r="D15" s="19"/>
      <c r="G15" s="25"/>
      <c r="H15" s="25"/>
      <c r="I15" s="25"/>
    </row>
    <row r="16" spans="1:9" ht="14.4" x14ac:dyDescent="0.25">
      <c r="G16" s="138"/>
      <c r="H16" s="138"/>
      <c r="I16" s="139"/>
    </row>
    <row r="17" spans="9:9" x14ac:dyDescent="0.25">
      <c r="I17" s="45"/>
    </row>
  </sheetData>
  <sheetProtection algorithmName="SHA-512" hashValue="OqKm1JdIe6BZr87ZtIZbOtAo7ry/s6wE4Vy9eNZxwgU8sLajRE2Vr/pY0jdfpDXvh8tuM3eFM2745Dfvnh+9jQ==" saltValue="ImuM9kLCA5+EOY8NrvQ5CA==" spinCount="100000" sheet="1" formatCells="0" formatColumns="0" formatRows="0"/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L44"/>
  <sheetViews>
    <sheetView showGridLines="0" workbookViewId="0">
      <selection activeCell="G35" sqref="G35"/>
    </sheetView>
  </sheetViews>
  <sheetFormatPr defaultColWidth="9.33203125" defaultRowHeight="13.2" x14ac:dyDescent="0.25"/>
  <cols>
    <col min="1" max="1" width="35" style="9" bestFit="1" customWidth="1"/>
    <col min="2" max="2" width="21.6640625" style="9" customWidth="1"/>
    <col min="3" max="3" width="21.33203125" style="9" bestFit="1" customWidth="1"/>
    <col min="4" max="4" width="24.6640625" style="9" bestFit="1" customWidth="1"/>
    <col min="5" max="5" width="15.33203125" style="89" bestFit="1" customWidth="1"/>
    <col min="6" max="6" width="9.33203125" style="9"/>
    <col min="7" max="7" width="8.5546875" style="9" customWidth="1"/>
    <col min="8" max="16384" width="9.33203125" style="9"/>
  </cols>
  <sheetData>
    <row r="1" spans="1:12" s="19" customFormat="1" ht="18" thickBot="1" x14ac:dyDescent="0.35">
      <c r="A1" s="6" t="s">
        <v>87</v>
      </c>
      <c r="B1" s="46"/>
      <c r="C1" s="87"/>
      <c r="D1" s="87"/>
      <c r="E1" s="85"/>
      <c r="F1" s="179"/>
      <c r="G1" s="179"/>
      <c r="H1" s="179"/>
      <c r="I1" s="191"/>
      <c r="J1" s="179"/>
      <c r="K1" s="179"/>
      <c r="L1" s="179"/>
    </row>
    <row r="2" spans="1:12" x14ac:dyDescent="0.25">
      <c r="F2" s="112"/>
      <c r="G2" s="112"/>
      <c r="H2" s="112"/>
      <c r="I2" s="112"/>
      <c r="J2" s="112"/>
      <c r="K2" s="112"/>
      <c r="L2" s="112"/>
    </row>
    <row r="3" spans="1:12" x14ac:dyDescent="0.25">
      <c r="A3" s="14" t="s">
        <v>53</v>
      </c>
      <c r="B3" s="14" t="s">
        <v>60</v>
      </c>
      <c r="C3" s="14" t="s">
        <v>62</v>
      </c>
      <c r="D3" s="102" t="s">
        <v>130</v>
      </c>
      <c r="E3" s="88" t="s">
        <v>63</v>
      </c>
      <c r="F3" s="112"/>
      <c r="G3" s="120" t="s">
        <v>140</v>
      </c>
      <c r="H3" s="112"/>
      <c r="I3" s="112"/>
      <c r="J3" s="112"/>
      <c r="K3" s="112"/>
      <c r="L3" s="112"/>
    </row>
    <row r="4" spans="1:12" ht="13.8" thickBot="1" x14ac:dyDescent="0.3">
      <c r="F4" s="112"/>
      <c r="G4" s="101" t="s">
        <v>159</v>
      </c>
      <c r="H4" s="112"/>
      <c r="I4" s="112"/>
      <c r="J4" s="112"/>
      <c r="K4" s="112"/>
      <c r="L4" s="112"/>
    </row>
    <row r="5" spans="1:12" ht="13.8" thickBot="1" x14ac:dyDescent="0.3">
      <c r="A5" s="9" t="s">
        <v>54</v>
      </c>
      <c r="B5" s="3">
        <v>3</v>
      </c>
      <c r="C5" s="116">
        <v>1250000</v>
      </c>
      <c r="D5" s="116">
        <v>187040</v>
      </c>
      <c r="E5" s="90">
        <f>B5*C5+D5</f>
        <v>3937040</v>
      </c>
      <c r="F5" s="112"/>
      <c r="G5" s="179"/>
      <c r="H5" s="179"/>
      <c r="I5" s="179"/>
      <c r="J5" s="179"/>
      <c r="K5" s="112"/>
      <c r="L5" s="112"/>
    </row>
    <row r="6" spans="1:12" ht="13.8" thickBot="1" x14ac:dyDescent="0.3">
      <c r="A6" s="9" t="s">
        <v>55</v>
      </c>
      <c r="B6" s="3">
        <v>3</v>
      </c>
      <c r="C6" s="116">
        <v>2000000</v>
      </c>
      <c r="D6" s="116">
        <v>302915</v>
      </c>
      <c r="E6" s="90">
        <f t="shared" ref="E6:E10" si="0">B6*C6+D6</f>
        <v>6302915</v>
      </c>
      <c r="F6" s="112"/>
      <c r="G6" s="179"/>
      <c r="H6" s="179"/>
      <c r="I6" s="179"/>
      <c r="J6" s="179"/>
      <c r="K6" s="112"/>
      <c r="L6" s="112"/>
    </row>
    <row r="7" spans="1:12" ht="13.8" thickBot="1" x14ac:dyDescent="0.3">
      <c r="A7" s="9" t="s">
        <v>56</v>
      </c>
      <c r="B7" s="3">
        <v>3</v>
      </c>
      <c r="C7" s="116">
        <v>325000</v>
      </c>
      <c r="D7" s="116">
        <v>44127.5</v>
      </c>
      <c r="E7" s="90">
        <f t="shared" si="0"/>
        <v>1019127.5</v>
      </c>
      <c r="F7" s="112"/>
      <c r="G7" s="179"/>
      <c r="H7" s="179"/>
      <c r="I7" s="179"/>
      <c r="J7" s="179"/>
      <c r="K7" s="112"/>
      <c r="L7" s="112"/>
    </row>
    <row r="8" spans="1:12" ht="13.8" thickBot="1" x14ac:dyDescent="0.3">
      <c r="A8" s="9" t="s">
        <v>57</v>
      </c>
      <c r="B8" s="3">
        <v>3</v>
      </c>
      <c r="C8" s="116">
        <v>110000</v>
      </c>
      <c r="D8" s="116">
        <v>11590</v>
      </c>
      <c r="E8" s="90">
        <f>B8*C8+D8</f>
        <v>341590</v>
      </c>
      <c r="F8" s="112"/>
      <c r="G8" s="179"/>
      <c r="H8" s="179"/>
      <c r="I8" s="179"/>
      <c r="J8" s="179"/>
      <c r="K8" s="112"/>
      <c r="L8" s="112"/>
    </row>
    <row r="9" spans="1:12" ht="13.8" thickBot="1" x14ac:dyDescent="0.3">
      <c r="A9" s="9" t="s">
        <v>61</v>
      </c>
      <c r="B9" s="3">
        <v>3</v>
      </c>
      <c r="C9" s="116">
        <v>125000</v>
      </c>
      <c r="D9" s="116">
        <v>13727.5</v>
      </c>
      <c r="E9" s="90">
        <f t="shared" si="0"/>
        <v>388727.5</v>
      </c>
      <c r="F9" s="112"/>
      <c r="G9" s="179"/>
      <c r="H9" s="179"/>
      <c r="I9" s="179"/>
      <c r="J9" s="179"/>
      <c r="K9" s="112"/>
      <c r="L9" s="112"/>
    </row>
    <row r="10" spans="1:12" ht="13.8" thickBot="1" x14ac:dyDescent="0.3">
      <c r="A10" s="9" t="s">
        <v>58</v>
      </c>
      <c r="B10" s="3">
        <v>3</v>
      </c>
      <c r="C10" s="116">
        <v>30000</v>
      </c>
      <c r="D10" s="116">
        <v>1805</v>
      </c>
      <c r="E10" s="90">
        <f t="shared" si="0"/>
        <v>91805</v>
      </c>
      <c r="F10" s="112"/>
      <c r="G10" s="179"/>
      <c r="H10" s="179"/>
      <c r="I10" s="179"/>
      <c r="J10" s="179"/>
      <c r="K10" s="112"/>
      <c r="L10" s="112"/>
    </row>
    <row r="11" spans="1:12" ht="13.8" thickBot="1" x14ac:dyDescent="0.3">
      <c r="A11" s="9" t="s">
        <v>59</v>
      </c>
      <c r="B11" s="4">
        <v>3</v>
      </c>
      <c r="C11" s="117">
        <v>600000</v>
      </c>
      <c r="D11" s="117">
        <v>86615</v>
      </c>
      <c r="E11" s="90">
        <f>B11*C11+D11</f>
        <v>1886615</v>
      </c>
      <c r="F11" s="112"/>
      <c r="G11" s="179"/>
      <c r="H11" s="179"/>
      <c r="I11" s="179"/>
      <c r="J11" s="179"/>
      <c r="K11" s="112"/>
      <c r="L11" s="112"/>
    </row>
    <row r="12" spans="1:12" ht="13.8" thickBot="1" x14ac:dyDescent="0.3">
      <c r="A12" s="14" t="s">
        <v>93</v>
      </c>
      <c r="E12" s="86">
        <f>(SUM(E5:E8)+0.5*(E9+E10)+E11)/6</f>
        <v>2287925.625</v>
      </c>
      <c r="F12" s="112"/>
      <c r="G12" s="179"/>
      <c r="H12" s="179"/>
      <c r="I12" s="179"/>
      <c r="J12" s="179"/>
      <c r="K12" s="112"/>
      <c r="L12" s="112"/>
    </row>
    <row r="13" spans="1:12" ht="13.8" thickBot="1" x14ac:dyDescent="0.3">
      <c r="F13" s="112"/>
      <c r="G13" s="179"/>
      <c r="H13" s="179"/>
      <c r="I13" s="179"/>
      <c r="J13" s="179"/>
      <c r="K13" s="112"/>
      <c r="L13" s="112"/>
    </row>
    <row r="14" spans="1:12" s="19" customFormat="1" ht="13.8" thickBot="1" x14ac:dyDescent="0.3">
      <c r="A14" s="20" t="s">
        <v>66</v>
      </c>
      <c r="B14" s="20"/>
      <c r="C14" s="20"/>
      <c r="D14" s="20"/>
      <c r="E14" s="16" t="s">
        <v>65</v>
      </c>
      <c r="F14" s="179"/>
      <c r="G14" s="179"/>
      <c r="H14" s="179"/>
      <c r="I14" s="179"/>
      <c r="J14" s="179"/>
      <c r="K14" s="179"/>
      <c r="L14" s="179"/>
    </row>
    <row r="15" spans="1:12" s="19" customFormat="1" ht="13.8" thickBot="1" x14ac:dyDescent="0.3">
      <c r="A15" s="20" t="s">
        <v>107</v>
      </c>
      <c r="B15" s="20"/>
      <c r="C15" s="20"/>
      <c r="D15" s="20"/>
      <c r="E15" s="31">
        <v>44012</v>
      </c>
      <c r="F15" s="179"/>
      <c r="G15" s="179"/>
      <c r="H15" s="179"/>
      <c r="I15" s="179"/>
      <c r="J15" s="179"/>
      <c r="K15" s="179"/>
      <c r="L15" s="179"/>
    </row>
    <row r="16" spans="1:12" s="19" customFormat="1" ht="13.8" thickBot="1" x14ac:dyDescent="0.3">
      <c r="A16" s="20" t="s">
        <v>108</v>
      </c>
      <c r="B16" s="20"/>
      <c r="C16" s="20"/>
      <c r="D16" s="20"/>
      <c r="E16" s="32">
        <v>45017</v>
      </c>
      <c r="F16" s="179"/>
      <c r="G16" s="179"/>
      <c r="H16" s="179"/>
      <c r="I16" s="179"/>
      <c r="J16" s="179"/>
      <c r="K16" s="179"/>
      <c r="L16" s="179"/>
    </row>
    <row r="17" spans="1:12" ht="13.8" thickBot="1" x14ac:dyDescent="0.3">
      <c r="F17" s="112"/>
      <c r="G17" s="179"/>
      <c r="H17" s="112"/>
      <c r="I17" s="112"/>
      <c r="J17" s="112"/>
      <c r="K17" s="112"/>
      <c r="L17" s="112"/>
    </row>
    <row r="18" spans="1:12" ht="13.8" thickBot="1" x14ac:dyDescent="0.3">
      <c r="A18" s="20" t="s">
        <v>67</v>
      </c>
      <c r="C18" s="14" t="s">
        <v>123</v>
      </c>
      <c r="D18" s="91">
        <f>ESCALATION_FACTORS!$B$4</f>
        <v>44377</v>
      </c>
      <c r="E18" s="100">
        <f>VLOOKUP($E$14,ESCALATION_FACTORS!$A$5:$D$9,2,)</f>
        <v>2.2499999999999999E-2</v>
      </c>
      <c r="F18" s="112"/>
      <c r="G18" s="179"/>
      <c r="H18" s="112"/>
      <c r="I18" s="112"/>
      <c r="J18" s="112"/>
      <c r="K18" s="112"/>
      <c r="L18" s="112"/>
    </row>
    <row r="19" spans="1:12" ht="13.8" thickBot="1" x14ac:dyDescent="0.3">
      <c r="B19" s="14"/>
      <c r="D19" s="91">
        <f>ESCALATION_FACTORS!$C$4</f>
        <v>44742</v>
      </c>
      <c r="E19" s="100">
        <f>VLOOKUP($E$14,ESCALATION_FACTORS!$A$5:$D$9,3,)</f>
        <v>1.2500000000000001E-2</v>
      </c>
      <c r="F19" s="112"/>
      <c r="G19" s="179"/>
      <c r="H19" s="112"/>
      <c r="I19" s="112"/>
      <c r="J19" s="112"/>
      <c r="K19" s="112"/>
      <c r="L19" s="112"/>
    </row>
    <row r="20" spans="1:12" ht="13.8" thickBot="1" x14ac:dyDescent="0.3">
      <c r="B20" s="14"/>
      <c r="D20" s="91">
        <f>ESCALATION_FACTORS!$D$4</f>
        <v>45107</v>
      </c>
      <c r="E20" s="100">
        <f>VLOOKUP($E$14,ESCALATION_FACTORS!$A$5:$D$9,4,)</f>
        <v>0.02</v>
      </c>
      <c r="F20" s="112"/>
      <c r="G20" s="191"/>
      <c r="H20" s="112"/>
      <c r="I20" s="112"/>
      <c r="J20" s="112"/>
      <c r="K20" s="112"/>
      <c r="L20" s="112"/>
    </row>
    <row r="21" spans="1:12" ht="13.8" thickBot="1" x14ac:dyDescent="0.3">
      <c r="F21" s="112"/>
      <c r="G21" s="179"/>
      <c r="H21" s="112"/>
      <c r="I21" s="112"/>
      <c r="J21" s="112"/>
      <c r="K21" s="112"/>
      <c r="L21" s="112"/>
    </row>
    <row r="22" spans="1:12" ht="13.8" thickBot="1" x14ac:dyDescent="0.3">
      <c r="A22" s="14" t="s">
        <v>87</v>
      </c>
      <c r="E22" s="86">
        <f>E12*IF(E15&lt;=D18,(1+E18)^((MIN(E16,D18)-MAX(E15,DATE(YEAR(D18)-1,6,30)))/(D18-DATE(YEAR(D18)-1,6,30))),1)*IF(AND(E15&lt;=D19,E16&gt;=D18),(1+E19)^((MIN(E16,D19)-MAX(E15,D18))/(D19-D18)),1)*IF(E16&gt;=D19,(1+E20)^((E16-MAX(E15,D19))/(D20-D19)),1)</f>
        <v>2404251.1503018662</v>
      </c>
      <c r="F22" s="112"/>
      <c r="G22" s="112"/>
      <c r="H22" s="112"/>
      <c r="I22" s="112"/>
      <c r="J22" s="112"/>
      <c r="K22" s="112"/>
      <c r="L22" s="112"/>
    </row>
    <row r="23" spans="1:12" x14ac:dyDescent="0.25">
      <c r="B23" s="112"/>
      <c r="C23" s="112"/>
      <c r="D23" s="112"/>
      <c r="E23" s="198"/>
      <c r="F23" s="112"/>
      <c r="G23" s="112"/>
      <c r="H23" s="112"/>
      <c r="I23" s="112"/>
      <c r="J23" s="112"/>
      <c r="K23" s="112"/>
      <c r="L23" s="112"/>
    </row>
    <row r="24" spans="1:12" x14ac:dyDescent="0.25">
      <c r="B24" s="112"/>
      <c r="C24" s="112"/>
      <c r="D24" s="112"/>
      <c r="E24" s="198"/>
      <c r="F24" s="112"/>
      <c r="G24" s="112"/>
      <c r="H24" s="112"/>
      <c r="I24" s="112"/>
      <c r="J24" s="112"/>
      <c r="K24" s="112"/>
      <c r="L24" s="112"/>
    </row>
    <row r="25" spans="1:12" x14ac:dyDescent="0.25">
      <c r="B25" s="112"/>
      <c r="C25" s="112"/>
      <c r="D25" s="112"/>
      <c r="E25" s="198"/>
      <c r="F25" s="112"/>
      <c r="G25" s="112"/>
      <c r="H25" s="112"/>
      <c r="I25" s="112"/>
      <c r="J25" s="112"/>
      <c r="K25" s="112"/>
      <c r="L25" s="112"/>
    </row>
    <row r="26" spans="1:12" x14ac:dyDescent="0.25">
      <c r="B26" s="112"/>
      <c r="C26" s="112"/>
      <c r="D26" s="112"/>
      <c r="E26" s="198"/>
      <c r="F26" s="112"/>
      <c r="G26" s="112"/>
      <c r="H26" s="112"/>
      <c r="I26" s="112"/>
      <c r="J26" s="112"/>
      <c r="K26" s="112"/>
      <c r="L26" s="112"/>
    </row>
    <row r="27" spans="1:12" x14ac:dyDescent="0.25">
      <c r="B27" s="112"/>
      <c r="C27" s="112"/>
      <c r="D27" s="112"/>
      <c r="E27" s="198"/>
      <c r="F27" s="112"/>
      <c r="G27" s="112"/>
      <c r="H27" s="112"/>
      <c r="I27" s="112"/>
      <c r="J27" s="112"/>
      <c r="K27" s="112"/>
      <c r="L27" s="112"/>
    </row>
    <row r="28" spans="1:12" ht="13.8" thickBot="1" x14ac:dyDescent="0.3">
      <c r="B28" s="112"/>
      <c r="C28" s="112"/>
      <c r="D28" s="112"/>
      <c r="E28" s="198"/>
      <c r="F28" s="112"/>
      <c r="G28" s="112"/>
      <c r="H28" s="112"/>
      <c r="I28" s="112"/>
      <c r="J28" s="112"/>
      <c r="K28" s="112"/>
      <c r="L28" s="112"/>
    </row>
    <row r="29" spans="1:12" ht="13.8" thickBot="1" x14ac:dyDescent="0.3">
      <c r="A29" s="123" t="s">
        <v>128</v>
      </c>
      <c r="B29" s="124">
        <f>E12</f>
        <v>2287925.625</v>
      </c>
      <c r="C29" s="112"/>
      <c r="D29" s="112"/>
      <c r="E29" s="198"/>
      <c r="F29" s="112"/>
      <c r="G29" s="184"/>
      <c r="H29" s="112"/>
      <c r="I29" s="112"/>
      <c r="J29" s="112"/>
      <c r="K29" s="112"/>
      <c r="L29" s="112"/>
    </row>
    <row r="30" spans="1:12" ht="13.8" thickBot="1" x14ac:dyDescent="0.3">
      <c r="A30" s="125" t="s">
        <v>129</v>
      </c>
      <c r="B30" s="126">
        <f>B29/3</f>
        <v>762641.875</v>
      </c>
      <c r="C30" s="112"/>
      <c r="D30" s="112"/>
      <c r="E30" s="198"/>
      <c r="F30" s="112"/>
      <c r="G30" s="199"/>
      <c r="H30" s="112"/>
      <c r="I30" s="112"/>
      <c r="J30" s="112"/>
      <c r="K30" s="112"/>
      <c r="L30" s="112"/>
    </row>
    <row r="31" spans="1:12" ht="13.8" thickBot="1" x14ac:dyDescent="0.3">
      <c r="A31" s="4" t="s">
        <v>157</v>
      </c>
      <c r="B31" s="127">
        <f>B30*12*50%</f>
        <v>4575851.25</v>
      </c>
      <c r="C31" s="112"/>
      <c r="D31" s="112"/>
      <c r="E31" s="198"/>
      <c r="F31" s="112"/>
      <c r="G31" s="182"/>
      <c r="H31" s="112"/>
      <c r="I31" s="112"/>
      <c r="J31" s="112"/>
      <c r="K31" s="112"/>
      <c r="L31" s="112"/>
    </row>
    <row r="32" spans="1:12" ht="13.8" thickBot="1" x14ac:dyDescent="0.3">
      <c r="A32" s="4" t="s">
        <v>158</v>
      </c>
      <c r="B32" s="128">
        <f>B31*(1+ESCALATION_FACTORS!B8)</f>
        <v>4678807.9031250002</v>
      </c>
      <c r="C32" s="112"/>
      <c r="D32" s="112"/>
      <c r="E32" s="198"/>
      <c r="F32" s="112"/>
      <c r="G32" s="200"/>
      <c r="H32" s="112"/>
      <c r="I32" s="112"/>
      <c r="J32" s="112"/>
      <c r="K32" s="112"/>
      <c r="L32" s="112"/>
    </row>
    <row r="33" spans="1:12" x14ac:dyDescent="0.25">
      <c r="A33" s="112"/>
      <c r="B33" s="112"/>
      <c r="C33" s="112"/>
      <c r="D33" s="112"/>
      <c r="E33" s="198"/>
      <c r="F33" s="112"/>
      <c r="G33" s="112"/>
      <c r="H33" s="112"/>
      <c r="I33" s="112"/>
      <c r="J33" s="112"/>
      <c r="K33" s="112"/>
      <c r="L33" s="112"/>
    </row>
    <row r="34" spans="1:12" x14ac:dyDescent="0.25">
      <c r="A34" s="112"/>
      <c r="B34" s="112"/>
      <c r="C34" s="112"/>
      <c r="D34" s="112"/>
      <c r="E34" s="198"/>
      <c r="F34" s="112"/>
      <c r="G34" s="112"/>
      <c r="H34" s="112"/>
      <c r="I34" s="112"/>
      <c r="J34" s="112"/>
      <c r="K34" s="112"/>
      <c r="L34" s="112"/>
    </row>
    <row r="35" spans="1:12" x14ac:dyDescent="0.25">
      <c r="A35" s="112"/>
      <c r="B35" s="112"/>
      <c r="C35" s="112"/>
      <c r="D35" s="112"/>
      <c r="E35" s="198"/>
      <c r="F35" s="112"/>
      <c r="G35" s="112"/>
      <c r="H35" s="112"/>
      <c r="I35" s="112"/>
      <c r="J35" s="112"/>
      <c r="K35" s="112"/>
      <c r="L35" s="112"/>
    </row>
    <row r="36" spans="1:12" x14ac:dyDescent="0.25">
      <c r="A36" s="112"/>
      <c r="B36" s="112"/>
      <c r="C36" s="112"/>
      <c r="D36" s="112"/>
      <c r="E36" s="198"/>
      <c r="F36" s="112"/>
      <c r="G36" s="112"/>
      <c r="H36" s="112"/>
      <c r="I36" s="112"/>
      <c r="J36" s="112"/>
      <c r="K36" s="112"/>
      <c r="L36" s="112"/>
    </row>
    <row r="37" spans="1:12" x14ac:dyDescent="0.25">
      <c r="A37" s="112"/>
      <c r="B37" s="112"/>
      <c r="C37" s="112"/>
      <c r="D37" s="112"/>
      <c r="E37" s="198"/>
      <c r="F37" s="112"/>
      <c r="G37" s="112"/>
      <c r="H37" s="112"/>
      <c r="I37" s="112"/>
      <c r="J37" s="112"/>
      <c r="K37" s="112"/>
      <c r="L37" s="112"/>
    </row>
    <row r="38" spans="1:12" x14ac:dyDescent="0.25">
      <c r="A38" s="112"/>
      <c r="B38" s="112"/>
      <c r="C38" s="112"/>
      <c r="D38" s="112"/>
      <c r="E38" s="198"/>
      <c r="F38" s="112"/>
      <c r="G38" s="112"/>
      <c r="H38" s="112"/>
      <c r="I38" s="112"/>
      <c r="J38" s="112"/>
      <c r="K38" s="112"/>
      <c r="L38" s="112"/>
    </row>
    <row r="39" spans="1:12" x14ac:dyDescent="0.25">
      <c r="A39" s="112"/>
      <c r="B39" s="112"/>
      <c r="C39" s="112"/>
      <c r="D39" s="112"/>
      <c r="E39" s="198"/>
      <c r="F39" s="112"/>
      <c r="G39" s="112"/>
      <c r="H39" s="112"/>
      <c r="I39" s="112"/>
      <c r="J39" s="112"/>
      <c r="K39" s="112"/>
      <c r="L39" s="112"/>
    </row>
    <row r="40" spans="1:12" x14ac:dyDescent="0.25">
      <c r="A40" s="112"/>
      <c r="B40" s="112"/>
      <c r="C40" s="112"/>
      <c r="D40" s="112"/>
      <c r="E40" s="198"/>
      <c r="F40" s="112"/>
      <c r="G40" s="112"/>
      <c r="H40" s="112"/>
      <c r="I40" s="112"/>
      <c r="J40" s="112"/>
      <c r="K40" s="112"/>
      <c r="L40" s="112"/>
    </row>
    <row r="41" spans="1:12" x14ac:dyDescent="0.25">
      <c r="A41" s="112"/>
      <c r="B41" s="112"/>
      <c r="C41" s="112"/>
      <c r="D41" s="112"/>
      <c r="E41" s="198"/>
      <c r="F41" s="112"/>
      <c r="G41" s="112"/>
      <c r="H41" s="112"/>
      <c r="I41" s="112"/>
      <c r="J41" s="112"/>
      <c r="K41" s="112"/>
      <c r="L41" s="112"/>
    </row>
    <row r="42" spans="1:12" x14ac:dyDescent="0.25">
      <c r="A42" s="112"/>
      <c r="B42" s="112"/>
      <c r="C42" s="112"/>
      <c r="D42" s="112"/>
      <c r="E42" s="198"/>
      <c r="F42" s="112"/>
      <c r="G42" s="112"/>
      <c r="H42" s="112"/>
      <c r="I42" s="112"/>
      <c r="J42" s="112"/>
      <c r="K42" s="112"/>
      <c r="L42" s="112"/>
    </row>
    <row r="43" spans="1:12" x14ac:dyDescent="0.25">
      <c r="A43" s="112"/>
      <c r="B43" s="112"/>
      <c r="C43" s="112"/>
      <c r="D43" s="112"/>
      <c r="E43" s="198"/>
      <c r="F43" s="112"/>
      <c r="G43" s="112"/>
      <c r="H43" s="112"/>
      <c r="I43" s="112"/>
      <c r="J43" s="112"/>
      <c r="K43" s="112"/>
      <c r="L43" s="112"/>
    </row>
    <row r="44" spans="1:12" x14ac:dyDescent="0.25">
      <c r="A44" s="112"/>
      <c r="B44" s="112"/>
      <c r="C44" s="112"/>
      <c r="D44" s="112"/>
      <c r="E44" s="198"/>
      <c r="F44" s="112"/>
      <c r="G44" s="112"/>
      <c r="H44" s="112"/>
      <c r="I44" s="112"/>
      <c r="J44" s="112"/>
      <c r="K44" s="112"/>
      <c r="L44" s="112"/>
    </row>
  </sheetData>
  <sheetProtection algorithmName="SHA-512" hashValue="QD3P5mKCaO2TU5JmXO9RCecHSNcUazhwHCd6bjvVR6nhK0NNkyEYGU15veF3CGpJ3yfM8bRHdxfK/lDiNzuGcQ==" saltValue="I5nheHDwB7xokpK96jDX1A==" spinCount="100000" sheet="1" objects="1" scenarios="1" formatCells="0" formatColumns="0" formatRows="0"/>
  <phoneticPr fontId="8" type="noConversion"/>
  <hyperlinks>
    <hyperlink ref="G4" r:id="rId1" display="https://apps.osr.wa.gov.au/portal/0/home;jsessionid=HUMzy47BiJyTgiXpxhA56gXLDPY1lur5lAOhLx0hviTvcNLg7gK1!-1182891139" xr:uid="{EFB73B9A-DC9E-403B-B81F-E43DD5C0205E}"/>
  </hyperlinks>
  <printOptions headings="1"/>
  <pageMargins left="0.7" right="0.7" top="0.75" bottom="0.75" header="0.3" footer="0.3"/>
  <pageSetup paperSize="9" scale="54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14523ce-dede-483e-883a-2d83261080bd">MARKETS-1263858229-5189</_dlc_DocId>
    <_dlc_DocIdUrl xmlns="a14523ce-dede-483e-883a-2d83261080bd">
      <Url>http://sharedocs/sites/markets/o/sc/_layouts/15/DocIdRedir.aspx?ID=MARKETS-1263858229-5189</Url>
      <Description>MARKETS-1263858229-5189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456C7A5B82A148801EF290BF8A088C" ma:contentTypeVersion="0" ma:contentTypeDescription="Create a new document." ma:contentTypeScope="" ma:versionID="94e7583eba77821fcba4f60c2da9cf3e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7609b2132cc27c2e027996f255529d92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FDC013-13D0-4517-A861-8F2FE3244656}">
  <ds:schemaRefs>
    <ds:schemaRef ds:uri="http://purl.org/dc/dcmitype/"/>
    <ds:schemaRef ds:uri="695ac2ad-ca6a-4295-a12b-f1c802eb0c1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14523ce-dede-483e-883a-2d83261080b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79553A-4F1C-4E9E-A8E7-FB6CCB2CB7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F41484-5935-4377-B7B5-2BC536A9418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7DE94D2-7CB9-447A-920A-602A7A5FA5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README</vt:lpstr>
      <vt:lpstr>BRCP_Calculation</vt:lpstr>
      <vt:lpstr>ANNUALISED_CAP_COST</vt:lpstr>
      <vt:lpstr>ANNUALISED_FIXED_O&amp;M</vt:lpstr>
      <vt:lpstr>WACC</vt:lpstr>
      <vt:lpstr>PC</vt:lpstr>
      <vt:lpstr>M</vt:lpstr>
      <vt:lpstr>TC</vt:lpstr>
      <vt:lpstr>LC</vt:lpstr>
      <vt:lpstr>FFC</vt:lpstr>
      <vt:lpstr>ESCALATION_FACTORS</vt:lpstr>
      <vt:lpstr>WACC nominal risk free rate</vt:lpstr>
      <vt:lpstr>Graph historical bond yields</vt:lpstr>
      <vt:lpstr>WACC expected inflation</vt:lpstr>
      <vt:lpstr>BRCP chart breakdown</vt:lpstr>
      <vt:lpstr>Changes from previous BRCP</vt:lpstr>
      <vt:lpstr>Waterfall chart</vt:lpstr>
      <vt:lpstr>BRCP chart</vt:lpstr>
      <vt:lpstr>'ANNUALISED_FIXED_O&amp;M'!Print_Area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2020-12-10T07:55:21Z</dcterms:created>
  <dcterms:modified xsi:type="dcterms:W3CDTF">2021-01-14T03:59:42Z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1306700</vt:r8>
  </property>
  <property fmtid="{D5CDD505-2E9C-101B-9397-08002B2CF9AE}" pid="3" name="Market">
    <vt:lpwstr>Electricity</vt:lpwstr>
  </property>
  <property fmtid="{D5CDD505-2E9C-101B-9397-08002B2CF9AE}" pid="4" name="xd_ProgID">
    <vt:lpwstr/>
  </property>
  <property fmtid="{D5CDD505-2E9C-101B-9397-08002B2CF9AE}" pid="5" name="ContentTypeId">
    <vt:lpwstr>0x0101005A456C7A5B82A148801EF290BF8A088C</vt:lpwstr>
  </property>
  <property fmtid="{D5CDD505-2E9C-101B-9397-08002B2CF9AE}" pid="6" name="PA Classification">
    <vt:lpwstr/>
  </property>
  <property fmtid="{D5CDD505-2E9C-101B-9397-08002B2CF9AE}" pid="7" name="TemplateUrl">
    <vt:lpwstr/>
  </property>
  <property fmtid="{D5CDD505-2E9C-101B-9397-08002B2CF9AE}" pid="8" name="Date modified">
    <vt:filetime>2017-01-04T03:31:00Z</vt:filetime>
  </property>
  <property fmtid="{D5CDD505-2E9C-101B-9397-08002B2CF9AE}" pid="9" name="_dlc_DocIdItemGuid">
    <vt:lpwstr>04e5e5a6-a40a-4113-b563-b969c2a08ffa</vt:lpwstr>
  </property>
</Properties>
</file>